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inds\Documents\UUCNH\Financials\"/>
    </mc:Choice>
  </mc:AlternateContent>
  <xr:revisionPtr revIDLastSave="0" documentId="13_ncr:1_{C65739FA-549F-4666-966F-331CD89D97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Sheet1!$A:$G,Sheet1!$1:$2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2" i="1" l="1"/>
  <c r="N22" i="1" l="1"/>
  <c r="L22" i="1"/>
  <c r="J22" i="1"/>
  <c r="H22" i="1"/>
  <c r="L20" i="1"/>
  <c r="J73" i="1"/>
  <c r="H73" i="1"/>
  <c r="N135" i="1"/>
  <c r="N35" i="1" l="1"/>
  <c r="L132" i="1" l="1"/>
  <c r="N121" i="1"/>
  <c r="L121" i="1"/>
  <c r="L118" i="1"/>
  <c r="L89" i="1"/>
  <c r="N73" i="1"/>
  <c r="N172" i="1" l="1"/>
  <c r="N104" i="1"/>
  <c r="N53" i="1"/>
  <c r="N30" i="1"/>
  <c r="N32" i="1" s="1"/>
  <c r="L84" i="1" l="1"/>
  <c r="L83" i="1"/>
  <c r="L81" i="1"/>
  <c r="L80" i="1"/>
  <c r="L79" i="1"/>
  <c r="L78" i="1"/>
  <c r="L76" i="1"/>
  <c r="N102" i="1"/>
  <c r="L53" i="1" l="1"/>
  <c r="L35" i="1"/>
  <c r="H142" i="1"/>
  <c r="P142" i="1" s="1"/>
  <c r="L54" i="1"/>
  <c r="L124" i="1"/>
  <c r="N150" i="1"/>
  <c r="L68" i="1"/>
  <c r="L175" i="1"/>
  <c r="L104" i="1"/>
  <c r="H130" i="1"/>
  <c r="H97" i="1"/>
  <c r="H58" i="1"/>
  <c r="L163" i="1"/>
  <c r="N109" i="1"/>
  <c r="J30" i="1"/>
  <c r="J32" i="1" s="1"/>
  <c r="H91" i="1"/>
  <c r="H8" i="1"/>
  <c r="L5" i="1"/>
  <c r="L6" i="1"/>
  <c r="L7" i="1"/>
  <c r="J8" i="1"/>
  <c r="N8" i="1"/>
  <c r="L9" i="1"/>
  <c r="O9" i="1"/>
  <c r="P9" i="1"/>
  <c r="L11" i="1"/>
  <c r="L12" i="1"/>
  <c r="L13" i="1"/>
  <c r="H14" i="1"/>
  <c r="J14" i="1"/>
  <c r="N14" i="1"/>
  <c r="L15" i="1"/>
  <c r="O15" i="1"/>
  <c r="P15" i="1"/>
  <c r="L18" i="1"/>
  <c r="L19" i="1" s="1"/>
  <c r="H19" i="1"/>
  <c r="J19" i="1"/>
  <c r="N19" i="1"/>
  <c r="L21" i="1"/>
  <c r="L24" i="1"/>
  <c r="L25" i="1" s="1"/>
  <c r="H25" i="1"/>
  <c r="J25" i="1"/>
  <c r="N25" i="1"/>
  <c r="H30" i="1"/>
  <c r="H32" i="1" s="1"/>
  <c r="L30" i="1"/>
  <c r="L33" i="1"/>
  <c r="L34" i="1"/>
  <c r="O34" i="1"/>
  <c r="P34" i="1"/>
  <c r="L41" i="1"/>
  <c r="L42" i="1"/>
  <c r="L43" i="1"/>
  <c r="L44" i="1"/>
  <c r="L45" i="1"/>
  <c r="L46" i="1"/>
  <c r="L47" i="1"/>
  <c r="H48" i="1"/>
  <c r="J48" i="1"/>
  <c r="N48" i="1"/>
  <c r="L51" i="1"/>
  <c r="L52" i="1"/>
  <c r="L55" i="1"/>
  <c r="L56" i="1"/>
  <c r="O56" i="1"/>
  <c r="P56" i="1"/>
  <c r="L60" i="1"/>
  <c r="O60" i="1"/>
  <c r="P60" i="1"/>
  <c r="L61" i="1"/>
  <c r="L62" i="1"/>
  <c r="L63" i="1"/>
  <c r="L64" i="1"/>
  <c r="H65" i="1"/>
  <c r="J65" i="1"/>
  <c r="N65" i="1"/>
  <c r="L69" i="1"/>
  <c r="H70" i="1"/>
  <c r="J70" i="1"/>
  <c r="H75" i="1"/>
  <c r="J75" i="1"/>
  <c r="H82" i="1"/>
  <c r="J82" i="1"/>
  <c r="L85" i="1"/>
  <c r="O85" i="1"/>
  <c r="P85" i="1"/>
  <c r="L91" i="1"/>
  <c r="J91" i="1"/>
  <c r="N91" i="1"/>
  <c r="L93" i="1"/>
  <c r="L94" i="1"/>
  <c r="L95" i="1"/>
  <c r="L96" i="1"/>
  <c r="J97" i="1"/>
  <c r="N97" i="1"/>
  <c r="L98" i="1"/>
  <c r="L99" i="1"/>
  <c r="L103" i="1"/>
  <c r="L105" i="1"/>
  <c r="L106" i="1"/>
  <c r="L107" i="1"/>
  <c r="L108" i="1"/>
  <c r="H109" i="1"/>
  <c r="J109" i="1"/>
  <c r="L111" i="1"/>
  <c r="L112" i="1"/>
  <c r="H113" i="1"/>
  <c r="J113" i="1"/>
  <c r="N113" i="1"/>
  <c r="H120" i="1"/>
  <c r="J120" i="1"/>
  <c r="H123" i="1"/>
  <c r="J123" i="1"/>
  <c r="L125" i="1"/>
  <c r="L128" i="1"/>
  <c r="L129" i="1"/>
  <c r="J130" i="1"/>
  <c r="N130" i="1"/>
  <c r="L131" i="1"/>
  <c r="L133" i="1"/>
  <c r="H135" i="1"/>
  <c r="J135" i="1"/>
  <c r="L135" i="1"/>
  <c r="L136" i="1"/>
  <c r="L137" i="1"/>
  <c r="L138" i="1"/>
  <c r="O138" i="1"/>
  <c r="P138" i="1"/>
  <c r="J142" i="1"/>
  <c r="L142" i="1"/>
  <c r="L147" i="1"/>
  <c r="L148" i="1"/>
  <c r="L149" i="1"/>
  <c r="H150" i="1"/>
  <c r="J150" i="1"/>
  <c r="L152" i="1"/>
  <c r="L153" i="1"/>
  <c r="L154" i="1"/>
  <c r="L155" i="1"/>
  <c r="H156" i="1"/>
  <c r="J156" i="1"/>
  <c r="N156" i="1"/>
  <c r="L159" i="1"/>
  <c r="L160" i="1"/>
  <c r="L161" i="1"/>
  <c r="H162" i="1"/>
  <c r="H166" i="1" s="1"/>
  <c r="J162" i="1"/>
  <c r="N162" i="1"/>
  <c r="N166" i="1" s="1"/>
  <c r="L164" i="1"/>
  <c r="L165" i="1"/>
  <c r="L168" i="1"/>
  <c r="L169" i="1"/>
  <c r="H170" i="1"/>
  <c r="J170" i="1"/>
  <c r="N170" i="1"/>
  <c r="L172" i="1"/>
  <c r="L173" i="1"/>
  <c r="L174" i="1"/>
  <c r="L176" i="1"/>
  <c r="L177" i="1"/>
  <c r="L178" i="1"/>
  <c r="L179" i="1"/>
  <c r="L180" i="1"/>
  <c r="L181" i="1"/>
  <c r="H182" i="1"/>
  <c r="J182" i="1"/>
  <c r="N182" i="1"/>
  <c r="L184" i="1"/>
  <c r="L185" i="1" s="1"/>
  <c r="H185" i="1"/>
  <c r="J185" i="1"/>
  <c r="N185" i="1"/>
  <c r="L146" i="1"/>
  <c r="H86" i="1" l="1"/>
  <c r="J86" i="1"/>
  <c r="L170" i="1"/>
  <c r="L102" i="1"/>
  <c r="L109" i="1" s="1"/>
  <c r="N123" i="1"/>
  <c r="L120" i="1"/>
  <c r="P8" i="1"/>
  <c r="J58" i="1"/>
  <c r="J66" i="1" s="1"/>
  <c r="J71" i="1" s="1"/>
  <c r="N70" i="1"/>
  <c r="L70" i="1"/>
  <c r="L113" i="1"/>
  <c r="L14" i="1"/>
  <c r="O14" i="1"/>
  <c r="O156" i="1"/>
  <c r="L48" i="1"/>
  <c r="L8" i="1"/>
  <c r="H126" i="1"/>
  <c r="H143" i="1" s="1"/>
  <c r="H100" i="1"/>
  <c r="H114" i="1" s="1"/>
  <c r="P156" i="1"/>
  <c r="O142" i="1"/>
  <c r="O109" i="1"/>
  <c r="O70" i="1"/>
  <c r="H66" i="1"/>
  <c r="H71" i="1" s="1"/>
  <c r="H36" i="1"/>
  <c r="H37" i="1" s="1"/>
  <c r="J126" i="1"/>
  <c r="J143" i="1" s="1"/>
  <c r="O32" i="1"/>
  <c r="L156" i="1"/>
  <c r="P70" i="1"/>
  <c r="P53" i="1"/>
  <c r="P166" i="1"/>
  <c r="O162" i="1"/>
  <c r="J100" i="1"/>
  <c r="J114" i="1" s="1"/>
  <c r="L58" i="1"/>
  <c r="N58" i="1"/>
  <c r="N66" i="1" s="1"/>
  <c r="O53" i="1"/>
  <c r="P150" i="1"/>
  <c r="H186" i="1"/>
  <c r="P109" i="1"/>
  <c r="O75" i="1"/>
  <c r="P65" i="1"/>
  <c r="P182" i="1"/>
  <c r="O65" i="1"/>
  <c r="P48" i="1"/>
  <c r="O182" i="1"/>
  <c r="L182" i="1"/>
  <c r="J166" i="1"/>
  <c r="O166" i="1" s="1"/>
  <c r="L162" i="1"/>
  <c r="L166" i="1" s="1"/>
  <c r="P162" i="1"/>
  <c r="O150" i="1"/>
  <c r="L150" i="1"/>
  <c r="N186" i="1"/>
  <c r="L130" i="1"/>
  <c r="L97" i="1"/>
  <c r="L100" i="1" s="1"/>
  <c r="N100" i="1"/>
  <c r="N114" i="1" s="1"/>
  <c r="O48" i="1"/>
  <c r="L65" i="1"/>
  <c r="P14" i="1"/>
  <c r="J36" i="1"/>
  <c r="J37" i="1" s="1"/>
  <c r="O8" i="1"/>
  <c r="L123" i="1" l="1"/>
  <c r="L126" i="1" s="1"/>
  <c r="L143" i="1" s="1"/>
  <c r="N120" i="1"/>
  <c r="N126" i="1" s="1"/>
  <c r="N143" i="1" s="1"/>
  <c r="P143" i="1" s="1"/>
  <c r="N71" i="1"/>
  <c r="O58" i="1"/>
  <c r="L66" i="1"/>
  <c r="L71" i="1" s="1"/>
  <c r="P114" i="1"/>
  <c r="O114" i="1"/>
  <c r="O86" i="1"/>
  <c r="H187" i="1"/>
  <c r="H188" i="1" s="1"/>
  <c r="O37" i="1"/>
  <c r="O143" i="1"/>
  <c r="O126" i="1"/>
  <c r="P186" i="1"/>
  <c r="O100" i="1"/>
  <c r="P58" i="1"/>
  <c r="J186" i="1"/>
  <c r="O186" i="1" s="1"/>
  <c r="L186" i="1"/>
  <c r="L114" i="1"/>
  <c r="P100" i="1"/>
  <c r="P126" i="1" l="1"/>
  <c r="J187" i="1"/>
  <c r="O187" i="1" s="1"/>
  <c r="J188" i="1" l="1"/>
  <c r="L82" i="1"/>
  <c r="N82" i="1"/>
  <c r="L32" i="1" l="1"/>
  <c r="L36" i="1" s="1"/>
  <c r="L37" i="1" s="1"/>
  <c r="P32" i="1"/>
  <c r="N36" i="1"/>
  <c r="N37" i="1" s="1"/>
  <c r="P37" i="1" l="1"/>
  <c r="L73" i="1"/>
  <c r="L75" i="1" s="1"/>
  <c r="L86" i="1" s="1"/>
  <c r="L187" i="1" s="1"/>
  <c r="N75" i="1"/>
  <c r="N86" i="1" s="1"/>
  <c r="P75" i="1" l="1"/>
  <c r="P86" i="1"/>
  <c r="N187" i="1"/>
  <c r="P1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tc={934A4443-3811-441C-9CAA-C06C740FF1BD}</author>
    <author>tc={6AC51513-FCE1-45A7-8528-00739805701A}</author>
    <author>josh</author>
    <author>Lindsay</author>
    <author>Lindsay Scott</author>
  </authors>
  <commentList>
    <comment ref="N35" authorId="0" shapeId="0" xr:uid="{934A4443-3811-441C-9CAA-C06C740FF1BD}">
      <text>
        <t>[Threaded comment]
Your version of Excel allows you to read this threaded comment; however, any edits to it will get removed if the file is opened in a newer version of Excel. Learn more: https://go.microsoft.com/fwlink/?linkid=870924
Comment:
    $8k from PY surplus for moving exp</t>
      </text>
    </comment>
    <comment ref="N85" authorId="1" shapeId="0" xr:uid="{6AC51513-FCE1-45A7-8528-00739805701A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PY surplus</t>
      </text>
    </comment>
    <comment ref="N102" authorId="2" shapeId="0" xr:uid="{00000000-0006-0000-0000-000002000000}">
      <text>
        <r>
          <rPr>
            <b/>
            <sz val="9"/>
            <color indexed="81"/>
            <rFont val="Tahoma"/>
            <family val="2"/>
          </rPr>
          <t>Lindsay:</t>
        </r>
        <r>
          <rPr>
            <sz val="9"/>
            <color indexed="81"/>
            <rFont val="Tahoma"/>
            <family val="2"/>
          </rPr>
          <t xml:space="preserve">
Includes $300 Family Gp</t>
        </r>
      </text>
    </comment>
    <comment ref="N104" authorId="3" shapeId="0" xr:uid="{00000000-0006-0000-0000-000003000000}">
      <text>
        <r>
          <rPr>
            <b/>
            <sz val="9"/>
            <color indexed="81"/>
            <rFont val="Tahoma"/>
            <family val="2"/>
          </rPr>
          <t>Lindsay:</t>
        </r>
        <r>
          <rPr>
            <sz val="9"/>
            <color indexed="81"/>
            <rFont val="Tahoma"/>
            <family val="2"/>
          </rPr>
          <t xml:space="preserve">
Includes $0 for library</t>
        </r>
      </text>
    </comment>
    <comment ref="N147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Lindsay:  
</t>
        </r>
        <r>
          <rPr>
            <sz val="9"/>
            <color indexed="81"/>
            <rFont val="Tahoma"/>
            <family val="2"/>
          </rPr>
          <t xml:space="preserve">Compassionate Ser $200
Hunger Garden $300
</t>
        </r>
      </text>
    </comment>
    <comment ref="N172" authorId="4" shapeId="0" xr:uid="{5FA933AC-A7C6-4704-BC27-A659FECA9D79}">
      <text>
        <r>
          <rPr>
            <b/>
            <sz val="9"/>
            <color indexed="81"/>
            <rFont val="Tahoma"/>
            <family val="2"/>
          </rPr>
          <t>Lindsay Scott:</t>
        </r>
        <r>
          <rPr>
            <sz val="9"/>
            <color indexed="81"/>
            <rFont val="Tahoma"/>
            <family val="2"/>
          </rPr>
          <t xml:space="preserve">
+$4,000 for Installation
+$1,500 for Min. Sponsorship
+$1,000 for Denominat'l Affairs</t>
        </r>
      </text>
    </comment>
  </commentList>
</comments>
</file>

<file path=xl/sharedStrings.xml><?xml version="1.0" encoding="utf-8"?>
<sst xmlns="http://schemas.openxmlformats.org/spreadsheetml/2006/main" count="192" uniqueCount="192">
  <si>
    <t>Income</t>
  </si>
  <si>
    <t>4000 · Pledges</t>
  </si>
  <si>
    <t>4010 · Current year</t>
  </si>
  <si>
    <t>4015 · Prior year</t>
  </si>
  <si>
    <t>Total 4000 · Pledges</t>
  </si>
  <si>
    <t>4030 · Plate and non-pledge</t>
  </si>
  <si>
    <t>4100 · Church Use</t>
  </si>
  <si>
    <t>4125 · Copy Machine Use</t>
  </si>
  <si>
    <t>4100 · Church Use - Other</t>
  </si>
  <si>
    <t>Total 4100 · Church Use</t>
  </si>
  <si>
    <t>4200 · House Rent</t>
  </si>
  <si>
    <t>4300 · Investment Income</t>
  </si>
  <si>
    <t>4305 · Interest Income</t>
  </si>
  <si>
    <t>4314 · Money Market - Citizens</t>
  </si>
  <si>
    <t>Total 4305 · Interest Income</t>
  </si>
  <si>
    <t>Total 4300 · Investment Income</t>
  </si>
  <si>
    <t>4400 · RE Income</t>
  </si>
  <si>
    <t>4400 · RE Income - Other</t>
  </si>
  <si>
    <t>Total 4400 · RE Income</t>
  </si>
  <si>
    <t>4500 · Fundraisers / Service Auction</t>
  </si>
  <si>
    <t>4505 · Service Auction / Fundraisers</t>
  </si>
  <si>
    <t>Total 4505 · Service Auction / Fundraisers</t>
  </si>
  <si>
    <t>4511 · Compassionate service</t>
  </si>
  <si>
    <t>Total 4500 · Fundraisers / Service Auction</t>
  </si>
  <si>
    <t>4600 · EE Coffee and Chocolate</t>
  </si>
  <si>
    <t>4700 · Grocery coupons</t>
  </si>
  <si>
    <t>Total Income</t>
  </si>
  <si>
    <t>Gross Profit</t>
  </si>
  <si>
    <t>Expense</t>
  </si>
  <si>
    <t>5000 · FIXED COSTS</t>
  </si>
  <si>
    <t>5100 · Interest &amp; other costs</t>
  </si>
  <si>
    <t>5110 · Member Loan interest</t>
  </si>
  <si>
    <t>5120 · Children's Memorial Fund</t>
  </si>
  <si>
    <t>5140 · Taxes</t>
  </si>
  <si>
    <t>5190 · Broker/Bank Service Charges</t>
  </si>
  <si>
    <t>Total 5100 · Interest &amp; other costs</t>
  </si>
  <si>
    <t>5200 · Building Operations</t>
  </si>
  <si>
    <t>5201 · Buildings &amp; Grounds</t>
  </si>
  <si>
    <t>5210 · Custodial Services</t>
  </si>
  <si>
    <t>5220 · Household Items</t>
  </si>
  <si>
    <t>5230 · Maintenance</t>
  </si>
  <si>
    <t>5240 · Snow Removal / Lawn Mowing</t>
  </si>
  <si>
    <t>Total 5201 · Buildings &amp; Grounds</t>
  </si>
  <si>
    <t>5300 · Utilities</t>
  </si>
  <si>
    <t>5310 · Electric</t>
  </si>
  <si>
    <t>5315 · Gas</t>
  </si>
  <si>
    <t>5320 · Garbage Collection</t>
  </si>
  <si>
    <t>5325 · Sewer</t>
  </si>
  <si>
    <t>5330 · Water</t>
  </si>
  <si>
    <t>Total 5300 · Utilities</t>
  </si>
  <si>
    <t>Total 5200 · Building Operations</t>
  </si>
  <si>
    <t>5400 · Denominational Affairs</t>
  </si>
  <si>
    <t>5415 · OMD</t>
  </si>
  <si>
    <t>Total 5400 · Denominational Affairs</t>
  </si>
  <si>
    <t>Total 5000 · FIXED COSTS</t>
  </si>
  <si>
    <t>6100 · Ministry</t>
  </si>
  <si>
    <t>6110 · Salary</t>
  </si>
  <si>
    <t>6110 · Salary - Other</t>
  </si>
  <si>
    <t>Total 6110 · Salary</t>
  </si>
  <si>
    <t>6120 · Housing</t>
  </si>
  <si>
    <t>6125 · Benefits</t>
  </si>
  <si>
    <t>6130 · Pension</t>
  </si>
  <si>
    <t>6135 · Health Insurance</t>
  </si>
  <si>
    <t>6140 · LTD</t>
  </si>
  <si>
    <t>6150 · life insurance</t>
  </si>
  <si>
    <t>Total 6125 · Benefits</t>
  </si>
  <si>
    <t>Total 6100 · Ministry</t>
  </si>
  <si>
    <t>6200 · Religious Education</t>
  </si>
  <si>
    <t>6210 · Director</t>
  </si>
  <si>
    <t>6212 · Salary</t>
  </si>
  <si>
    <t>6212 · Salary - Other</t>
  </si>
  <si>
    <t>Total 6212 · Salary</t>
  </si>
  <si>
    <t>6214 · Benefits</t>
  </si>
  <si>
    <t>6215 · Payroll taxes</t>
  </si>
  <si>
    <t>6216 · Pension</t>
  </si>
  <si>
    <t>Total 6214 · Benefits</t>
  </si>
  <si>
    <t>Total 6210 · Director</t>
  </si>
  <si>
    <t>6220 · Children and youth</t>
  </si>
  <si>
    <t>6226 · Curriculum and Supplies</t>
  </si>
  <si>
    <t>6227 · Crib Room</t>
  </si>
  <si>
    <t>6228 · Training</t>
  </si>
  <si>
    <t>6232 · Summer Camp</t>
  </si>
  <si>
    <t>Total 6220 · Children and youth</t>
  </si>
  <si>
    <t>Total 6200 · Religious Education</t>
  </si>
  <si>
    <t>6560 · Payroll Expenses</t>
  </si>
  <si>
    <t>7100 · OFFICE OPERATIONS</t>
  </si>
  <si>
    <t>7112 · Salary</t>
  </si>
  <si>
    <t>7112 · Salary - Other</t>
  </si>
  <si>
    <t>Total 7112 · Salary</t>
  </si>
  <si>
    <t>7115 · Taxes/Benefits</t>
  </si>
  <si>
    <t>7115 · Taxes/Benefits - Other</t>
  </si>
  <si>
    <t>Total 7115 · Taxes/Benefits</t>
  </si>
  <si>
    <t>7130 · Telephone/Internet</t>
  </si>
  <si>
    <t>7140 · Postage</t>
  </si>
  <si>
    <t>7142 · Intercom</t>
  </si>
  <si>
    <t>7140 · Postage - Other</t>
  </si>
  <si>
    <t>Total 7140 · Postage</t>
  </si>
  <si>
    <t>7150 · Supplies</t>
  </si>
  <si>
    <t>7160 · Computer Costs</t>
  </si>
  <si>
    <t>7170 · Copy Machine</t>
  </si>
  <si>
    <t>7175 · Maintenance</t>
  </si>
  <si>
    <t>7170 · Copy Machine - Other</t>
  </si>
  <si>
    <t>Total 7170 · Copy Machine</t>
  </si>
  <si>
    <t>Total 7100 · OFFICE OPERATIONS</t>
  </si>
  <si>
    <t>8000 · DISCRETIONARY SPENDING</t>
  </si>
  <si>
    <t>8100 · Adult Programming</t>
  </si>
  <si>
    <t>8110 · Sunday Services</t>
  </si>
  <si>
    <t>8190 · Audio Equipment and Supplies</t>
  </si>
  <si>
    <t>Total 8100 · Adult Programming</t>
  </si>
  <si>
    <t>8300 · Membership</t>
  </si>
  <si>
    <t>Total 8300 · Membership</t>
  </si>
  <si>
    <t>8400 · Music</t>
  </si>
  <si>
    <t>8410 · Director</t>
  </si>
  <si>
    <t>8415 · Salary</t>
  </si>
  <si>
    <t>8418 · Payroll Expenses</t>
  </si>
  <si>
    <t>Total 8410 · Director</t>
  </si>
  <si>
    <t>8430 · Instruments/Music</t>
  </si>
  <si>
    <t>Total 8400 · Music</t>
  </si>
  <si>
    <t>8500 · Social Activities</t>
  </si>
  <si>
    <t>8510 · Coffee Hour &amp; Special Events</t>
  </si>
  <si>
    <t>Total 8500 · Social Activities</t>
  </si>
  <si>
    <t>8600 · Board Expenses / Other</t>
  </si>
  <si>
    <t>8605 · Board expenses/consultant/other</t>
  </si>
  <si>
    <t>8690 · Non-Sunday Child Care</t>
  </si>
  <si>
    <t>Total 8600 · Board Expenses / Other</t>
  </si>
  <si>
    <t>Total 8000 · DISCRETIONARY SPENDING</t>
  </si>
  <si>
    <t>Total Expense</t>
  </si>
  <si>
    <t>Net Income</t>
  </si>
  <si>
    <t>YTD Budget</t>
  </si>
  <si>
    <t>Budget</t>
  </si>
  <si>
    <t>4105 · Bellwood</t>
  </si>
  <si>
    <t>4050 · Designated Gifts</t>
  </si>
  <si>
    <t>4705 · Miscellaneous Income</t>
  </si>
  <si>
    <t>8330 · Caring, Supplies/Caregivers</t>
  </si>
  <si>
    <t>5130 · Insurance</t>
  </si>
  <si>
    <t>5135 · Life Insurance</t>
  </si>
  <si>
    <t>5100 · Interest &amp; other costs - Other</t>
  </si>
  <si>
    <t>5235 · Kitchen Expenses</t>
  </si>
  <si>
    <t>6160 · Professional Expenses</t>
  </si>
  <si>
    <t>7155 · Repairs &amp; Contingencies</t>
  </si>
  <si>
    <t>6240 · Adult Education</t>
  </si>
  <si>
    <t>6244 · Materials / curriculum</t>
  </si>
  <si>
    <t>6246 · Training</t>
  </si>
  <si>
    <t>Total 6240 · Adult Education</t>
  </si>
  <si>
    <t>6222 · Meetings, Other</t>
  </si>
  <si>
    <t>6224 · Background Checks</t>
  </si>
  <si>
    <t>6230 · Youth Group</t>
  </si>
  <si>
    <t>8420 · Pianists</t>
  </si>
  <si>
    <t>8450 · Piano Tuning</t>
  </si>
  <si>
    <t>8620 · Stewardship (Canvass)</t>
  </si>
  <si>
    <t>8650 · Ministry Reserve</t>
  </si>
  <si>
    <t>8695 · Leadership Development</t>
  </si>
  <si>
    <t>4510 · Craft group contributions</t>
  </si>
  <si>
    <t>8130 · Systemic Change</t>
  </si>
  <si>
    <t>8120 · Compassionate Service</t>
  </si>
  <si>
    <t>8800 · Other Reserves</t>
  </si>
  <si>
    <t>8840 · Building Maintenance Reserve</t>
  </si>
  <si>
    <t>Total 8800 · Other Reserves</t>
  </si>
  <si>
    <t>8627 · Pgh UU Cluster</t>
  </si>
  <si>
    <t>4502 · Rummage Sale</t>
  </si>
  <si>
    <t>8550 · Fundraising/auction expense</t>
  </si>
  <si>
    <t>TY vs LY</t>
  </si>
  <si>
    <t>TY vs Bud</t>
  </si>
  <si>
    <t>5250 · Major Maintenance</t>
  </si>
  <si>
    <t>7120 · Bookkeeper</t>
  </si>
  <si>
    <t>7122 · Salary</t>
  </si>
  <si>
    <t>7125 · Taxes/Benefits</t>
  </si>
  <si>
    <t>Total 7120 · Bookkeeper</t>
  </si>
  <si>
    <t>8697 · Shared Ministry/Threshold</t>
  </si>
  <si>
    <t>6217 · LTD &amp; Life Insurance</t>
  </si>
  <si>
    <t>8630 · Search (Ministerial &amp; DLFD)</t>
  </si>
  <si>
    <t>6205 · Health Insurance</t>
  </si>
  <si>
    <t>8419 · Professional Expenses</t>
  </si>
  <si>
    <t>7117 · Health Insurance</t>
  </si>
  <si>
    <t>6170 · Transportation/Moving Expenses</t>
  </si>
  <si>
    <t>8315 · Web Site/Breeze</t>
  </si>
  <si>
    <t>7110 · Office Administrator</t>
  </si>
  <si>
    <t>7116 · Office Admin Pension</t>
  </si>
  <si>
    <t>6219 · Moving</t>
  </si>
  <si>
    <t>8320 · Connections</t>
  </si>
  <si>
    <t>6218 · Meetings &amp; Prof. Exp.</t>
  </si>
  <si>
    <t>8310 · Publicity/Communications</t>
  </si>
  <si>
    <t>5410 · UUA/CER</t>
  </si>
  <si>
    <t>Total 7110 · Office Administrator</t>
  </si>
  <si>
    <t>8626 · General Assembly</t>
  </si>
  <si>
    <t>5231 · Maintenance Employee</t>
  </si>
  <si>
    <t>6161 · 127 Plan</t>
  </si>
  <si>
    <t>8625 · District</t>
  </si>
  <si>
    <t>YTD June 25</t>
  </si>
  <si>
    <t>YTD June 24</t>
  </si>
  <si>
    <t>4300 · Investment income - Short-Term</t>
  </si>
  <si>
    <t>4301 · Endowment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</si>
</sst>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7">
    <xf numFmtId="0" fontId="0" fillId="0" borderId="0" xfId="0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43" fontId="6" fillId="0" borderId="0" xfId="1" applyFont="1"/>
    <xf numFmtId="43" fontId="7" fillId="0" borderId="0" xfId="1" applyFont="1"/>
    <xf numFmtId="49" fontId="5" fillId="0" borderId="0" xfId="0" applyNumberFormat="1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/>
    <xf numFmtId="164" fontId="9" fillId="0" borderId="0" xfId="0" applyNumberFormat="1" applyFont="1"/>
    <xf numFmtId="49" fontId="9" fillId="0" borderId="0" xfId="0" applyNumberFormat="1" applyFont="1"/>
    <xf numFmtId="164" fontId="0" fillId="0" borderId="0" xfId="0" applyNumberFormat="1"/>
    <xf numFmtId="164" fontId="9" fillId="0" borderId="4" xfId="0" applyNumberFormat="1" applyFont="1" applyBorder="1"/>
    <xf numFmtId="165" fontId="3" fillId="0" borderId="0" xfId="2" applyNumberFormat="1"/>
    <xf numFmtId="43" fontId="9" fillId="0" borderId="0" xfId="1" applyFont="1"/>
    <xf numFmtId="164" fontId="9" fillId="2" borderId="0" xfId="0" applyNumberFormat="1" applyFont="1" applyFill="1"/>
    <xf numFmtId="164" fontId="9" fillId="0" borderId="5" xfId="0" applyNumberFormat="1" applyFont="1" applyBorder="1"/>
    <xf numFmtId="43" fontId="9" fillId="0" borderId="5" xfId="1" applyFont="1" applyBorder="1"/>
    <xf numFmtId="164" fontId="9" fillId="0" borderId="0" xfId="1" applyNumberFormat="1" applyFont="1"/>
    <xf numFmtId="43" fontId="9" fillId="0" borderId="4" xfId="1" applyFont="1" applyBorder="1"/>
    <xf numFmtId="165" fontId="4" fillId="0" borderId="4" xfId="2" applyNumberFormat="1" applyFont="1" applyBorder="1"/>
    <xf numFmtId="165" fontId="4" fillId="0" borderId="6" xfId="2" applyNumberFormat="1" applyFont="1" applyBorder="1"/>
    <xf numFmtId="164" fontId="9" fillId="0" borderId="7" xfId="0" applyNumberFormat="1" applyFont="1" applyBorder="1"/>
    <xf numFmtId="43" fontId="9" fillId="0" borderId="0" xfId="0" applyNumberFormat="1" applyFont="1"/>
    <xf numFmtId="43" fontId="9" fillId="0" borderId="5" xfId="0" applyNumberFormat="1" applyFont="1" applyBorder="1"/>
    <xf numFmtId="43" fontId="9" fillId="0" borderId="7" xfId="1" applyFont="1" applyBorder="1"/>
    <xf numFmtId="164" fontId="9" fillId="2" borderId="4" xfId="0" applyNumberFormat="1" applyFont="1" applyFill="1" applyBorder="1"/>
    <xf numFmtId="164" fontId="7" fillId="0" borderId="0" xfId="1" applyNumberFormat="1" applyFont="1"/>
    <xf numFmtId="164" fontId="9" fillId="0" borderId="7" xfId="1" applyNumberFormat="1" applyFont="1" applyBorder="1"/>
    <xf numFmtId="164" fontId="5" fillId="0" borderId="8" xfId="0" applyNumberFormat="1" applyFont="1" applyBorder="1"/>
    <xf numFmtId="0" fontId="5" fillId="0" borderId="0" xfId="0" applyFont="1"/>
    <xf numFmtId="164" fontId="5" fillId="0" borderId="8" xfId="1" applyNumberFormat="1" applyFont="1" applyBorder="1"/>
    <xf numFmtId="43" fontId="0" fillId="0" borderId="0" xfId="0" applyNumberFormat="1"/>
    <xf numFmtId="0" fontId="10" fillId="0" borderId="0" xfId="0" applyFont="1" applyAlignment="1">
      <alignment horizontal="center"/>
    </xf>
    <xf numFmtId="44" fontId="0" fillId="0" borderId="0" xfId="3" applyFont="1"/>
    <xf numFmtId="44" fontId="0" fillId="0" borderId="0" xfId="0" applyNumberFormat="1"/>
    <xf numFmtId="49" fontId="8" fillId="0" borderId="0" xfId="0" applyNumberFormat="1" applyFont="1" applyAlignment="1">
      <alignment horizontal="center"/>
    </xf>
    <xf numFmtId="43" fontId="7" fillId="0" borderId="0" xfId="1" applyFont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2" fontId="0" fillId="0" borderId="0" xfId="0" applyNumberFormat="1"/>
    <xf numFmtId="0" fontId="10" fillId="0" borderId="0" xfId="0" applyFont="1" applyAlignment="1">
      <alignment horizontal="right"/>
    </xf>
    <xf numFmtId="43" fontId="7" fillId="0" borderId="4" xfId="1" applyFont="1" applyBorder="1"/>
    <xf numFmtId="43" fontId="9" fillId="0" borderId="0" xfId="1" applyFont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ndsay Scott" id="{B495305A-FC93-48F8-AA0C-D7216432807E}" userId="S::lindsay@centerassociates.com::5ea85dfd-1d85-4a86-a6ad-d8b5d290370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5" dT="2024-09-12T01:07:16.34" personId="{B495305A-FC93-48F8-AA0C-D7216432807E}" id="{934A4443-3811-441C-9CAA-C06C740FF1BD}">
    <text>$8k from PY surplus for moving exp</text>
  </threadedComment>
  <threadedComment ref="N85" dT="2024-09-12T01:07:51.16" personId="{B495305A-FC93-48F8-AA0C-D7216432807E}" id="{6AC51513-FCE1-45A7-8528-00739805701A}">
    <text>From PY surplus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1"/>
  <sheetViews>
    <sheetView tabSelected="1" zoomScale="95" zoomScaleNormal="95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 activeCell="H172" sqref="H172"/>
    </sheetView>
  </sheetViews>
  <sheetFormatPr defaultColWidth="9.1796875" defaultRowHeight="14.5" x14ac:dyDescent="0.35"/>
  <cols>
    <col min="1" max="5" width="3" style="34" customWidth="1"/>
    <col min="6" max="6" width="3.36328125" style="34" customWidth="1"/>
    <col min="7" max="7" width="21.36328125" style="34" customWidth="1"/>
    <col min="8" max="8" width="12.81640625" customWidth="1"/>
    <col min="9" max="9" width="2.1796875" customWidth="1"/>
    <col min="10" max="10" width="12.81640625" customWidth="1"/>
    <col min="11" max="11" width="2.1796875" customWidth="1"/>
    <col min="12" max="12" width="10" style="5" customWidth="1"/>
    <col min="13" max="13" width="2.1796875" customWidth="1"/>
    <col min="14" max="14" width="10" style="5" customWidth="1"/>
    <col min="15" max="16" width="10.54296875" hidden="1" customWidth="1"/>
    <col min="17" max="17" width="11.08984375" bestFit="1" customWidth="1"/>
  </cols>
  <sheetData>
    <row r="1" spans="1:16" ht="15" thickBot="1" x14ac:dyDescent="0.4">
      <c r="A1" s="1"/>
      <c r="B1" s="1"/>
      <c r="C1" s="1"/>
      <c r="D1" s="1"/>
      <c r="E1" s="1"/>
      <c r="F1" s="1"/>
      <c r="G1" s="1"/>
      <c r="H1" s="2"/>
      <c r="I1" s="3"/>
      <c r="J1" s="2"/>
      <c r="L1" s="4">
        <v>12</v>
      </c>
    </row>
    <row r="2" spans="1:16" s="11" customFormat="1" ht="15.5" thickTop="1" thickBot="1" x14ac:dyDescent="0.4">
      <c r="A2" s="6"/>
      <c r="B2" s="6"/>
      <c r="C2" s="6"/>
      <c r="D2" s="6"/>
      <c r="E2" s="6"/>
      <c r="F2" s="6"/>
      <c r="G2" s="40"/>
      <c r="H2" s="7" t="s">
        <v>188</v>
      </c>
      <c r="I2" s="8"/>
      <c r="J2" s="7" t="s">
        <v>189</v>
      </c>
      <c r="K2" s="9"/>
      <c r="L2" s="10" t="s">
        <v>128</v>
      </c>
      <c r="M2" s="9"/>
      <c r="N2" s="10" t="s">
        <v>129</v>
      </c>
      <c r="O2" s="10" t="s">
        <v>161</v>
      </c>
      <c r="P2" s="10" t="s">
        <v>162</v>
      </c>
    </row>
    <row r="3" spans="1:16" ht="15" thickTop="1" x14ac:dyDescent="0.35">
      <c r="A3" s="1"/>
      <c r="B3" s="1"/>
      <c r="C3" s="1" t="s">
        <v>0</v>
      </c>
      <c r="D3" s="1"/>
      <c r="E3" s="1"/>
      <c r="F3" s="1"/>
      <c r="G3" s="12"/>
      <c r="H3" s="13"/>
      <c r="I3" s="14"/>
      <c r="J3" s="13"/>
    </row>
    <row r="4" spans="1:16" x14ac:dyDescent="0.35">
      <c r="A4" s="1"/>
      <c r="B4" s="1"/>
      <c r="C4" s="1"/>
      <c r="D4" s="1" t="s">
        <v>1</v>
      </c>
      <c r="E4" s="1"/>
      <c r="F4" s="1"/>
      <c r="G4" s="1"/>
      <c r="H4" s="13"/>
      <c r="I4" s="14"/>
      <c r="J4" s="13"/>
    </row>
    <row r="5" spans="1:16" x14ac:dyDescent="0.35">
      <c r="A5" s="1"/>
      <c r="B5" s="1"/>
      <c r="C5" s="1"/>
      <c r="D5" s="1"/>
      <c r="E5" s="1" t="s">
        <v>2</v>
      </c>
      <c r="F5" s="1"/>
      <c r="G5" s="1"/>
      <c r="H5" s="13">
        <v>358440.1</v>
      </c>
      <c r="I5" s="14"/>
      <c r="J5" s="13">
        <v>328001.33</v>
      </c>
      <c r="L5" s="5">
        <f>+N5/12*$L$1</f>
        <v>356960</v>
      </c>
      <c r="N5" s="5">
        <v>356960</v>
      </c>
      <c r="P5" s="15"/>
    </row>
    <row r="6" spans="1:16" x14ac:dyDescent="0.35">
      <c r="A6" s="1"/>
      <c r="B6" s="1"/>
      <c r="C6" s="1"/>
      <c r="D6" s="1"/>
      <c r="E6" s="1" t="s">
        <v>3</v>
      </c>
      <c r="F6" s="1"/>
      <c r="G6" s="1"/>
      <c r="H6" s="13">
        <v>16520</v>
      </c>
      <c r="I6" s="14"/>
      <c r="J6" s="13">
        <v>9060.49</v>
      </c>
      <c r="L6" s="5">
        <f>+N6/12*$L$1</f>
        <v>0</v>
      </c>
      <c r="N6" s="13"/>
    </row>
    <row r="7" spans="1:16" ht="15" thickBot="1" x14ac:dyDescent="0.4">
      <c r="A7" s="1"/>
      <c r="B7" s="1"/>
      <c r="C7" s="1"/>
      <c r="D7" s="1"/>
      <c r="E7" s="1" t="s">
        <v>131</v>
      </c>
      <c r="F7" s="1"/>
      <c r="G7" s="1"/>
      <c r="H7" s="16">
        <v>3564.04</v>
      </c>
      <c r="I7" s="14"/>
      <c r="J7" s="16">
        <v>3564.06</v>
      </c>
      <c r="L7" s="16">
        <f>+N7/12*$L$1</f>
        <v>3565</v>
      </c>
      <c r="N7" s="16">
        <v>3565</v>
      </c>
    </row>
    <row r="8" spans="1:16" x14ac:dyDescent="0.35">
      <c r="A8" s="1"/>
      <c r="B8" s="1"/>
      <c r="C8" s="1"/>
      <c r="D8" s="1" t="s">
        <v>4</v>
      </c>
      <c r="E8" s="1"/>
      <c r="F8" s="1"/>
      <c r="G8" s="1"/>
      <c r="H8" s="13">
        <f>ROUND(SUM(H4:H7),5)</f>
        <v>378524.14</v>
      </c>
      <c r="I8" s="14"/>
      <c r="J8" s="13">
        <f>ROUND(SUM(J4:J7),5)</f>
        <v>340625.88</v>
      </c>
      <c r="L8" s="13">
        <f>ROUND(SUM(L4:L7),5)</f>
        <v>360525</v>
      </c>
      <c r="N8" s="13">
        <f>ROUND(SUM(N4:N7),5)</f>
        <v>360525</v>
      </c>
      <c r="O8" s="17">
        <f>(+H8-J8)/J8</f>
        <v>0.11126065934860853</v>
      </c>
      <c r="P8" s="17">
        <f>(+H8-N8)/N8</f>
        <v>4.992480410512451E-2</v>
      </c>
    </row>
    <row r="9" spans="1:16" ht="30" customHeight="1" x14ac:dyDescent="0.35">
      <c r="A9" s="1"/>
      <c r="B9" s="1"/>
      <c r="C9" s="1"/>
      <c r="D9" s="1" t="s">
        <v>5</v>
      </c>
      <c r="E9" s="1"/>
      <c r="F9" s="1"/>
      <c r="G9" s="1"/>
      <c r="H9" s="13">
        <v>14678.9</v>
      </c>
      <c r="I9" s="14"/>
      <c r="J9" s="13">
        <v>22177.18</v>
      </c>
      <c r="L9" s="13">
        <f>+N9/12*$L$1</f>
        <v>13500</v>
      </c>
      <c r="N9" s="5">
        <v>13500</v>
      </c>
      <c r="O9" s="17">
        <f>(+H9-J9)/J9</f>
        <v>-0.3381079109246532</v>
      </c>
      <c r="P9" s="17">
        <f>(+H9-N9)/N9</f>
        <v>8.7325925925925904E-2</v>
      </c>
    </row>
    <row r="10" spans="1:16" x14ac:dyDescent="0.35">
      <c r="A10" s="1"/>
      <c r="B10" s="1"/>
      <c r="C10" s="1"/>
      <c r="D10" s="1" t="s">
        <v>6</v>
      </c>
      <c r="E10" s="1"/>
      <c r="F10" s="1"/>
      <c r="G10" s="1"/>
      <c r="H10" s="13"/>
      <c r="I10" s="14"/>
      <c r="J10" s="13"/>
      <c r="L10" s="13"/>
    </row>
    <row r="11" spans="1:16" x14ac:dyDescent="0.35">
      <c r="A11" s="1"/>
      <c r="B11" s="1"/>
      <c r="C11" s="1"/>
      <c r="D11" s="1"/>
      <c r="E11" s="1" t="s">
        <v>130</v>
      </c>
      <c r="F11" s="1"/>
      <c r="G11" s="1"/>
      <c r="H11" s="13">
        <v>8750</v>
      </c>
      <c r="I11" s="14"/>
      <c r="J11" s="13">
        <v>8750</v>
      </c>
      <c r="L11" s="13">
        <f>+N11/12*$L$1</f>
        <v>8750</v>
      </c>
      <c r="N11" s="5">
        <v>8750</v>
      </c>
    </row>
    <row r="12" spans="1:16" x14ac:dyDescent="0.35">
      <c r="A12" s="1"/>
      <c r="B12" s="1"/>
      <c r="C12" s="1"/>
      <c r="D12" s="1"/>
      <c r="E12" s="1" t="s">
        <v>7</v>
      </c>
      <c r="F12" s="1"/>
      <c r="G12" s="1"/>
      <c r="H12" s="13">
        <v>427.04</v>
      </c>
      <c r="I12" s="14"/>
      <c r="J12" s="13">
        <v>520.20000000000005</v>
      </c>
      <c r="L12" s="13">
        <f>+N12/12*$L$1</f>
        <v>600</v>
      </c>
      <c r="N12" s="5">
        <v>600</v>
      </c>
    </row>
    <row r="13" spans="1:16" ht="15" thickBot="1" x14ac:dyDescent="0.4">
      <c r="A13" s="1"/>
      <c r="B13" s="1"/>
      <c r="C13" s="1"/>
      <c r="D13" s="1"/>
      <c r="E13" s="1" t="s">
        <v>8</v>
      </c>
      <c r="F13" s="1"/>
      <c r="G13" s="1"/>
      <c r="H13" s="16">
        <v>820.6</v>
      </c>
      <c r="I13" s="14"/>
      <c r="J13" s="16">
        <v>250</v>
      </c>
      <c r="L13" s="16">
        <f>+N13/12*$L$1</f>
        <v>0</v>
      </c>
      <c r="N13" s="16"/>
    </row>
    <row r="14" spans="1:16" x14ac:dyDescent="0.35">
      <c r="A14" s="1"/>
      <c r="B14" s="1"/>
      <c r="C14" s="1"/>
      <c r="D14" s="1" t="s">
        <v>9</v>
      </c>
      <c r="E14" s="1"/>
      <c r="F14" s="1"/>
      <c r="G14" s="1"/>
      <c r="H14" s="13">
        <f>ROUND(SUM(H10:H13),5)</f>
        <v>9997.64</v>
      </c>
      <c r="I14" s="14"/>
      <c r="J14" s="13">
        <f>ROUND(SUM(J10:J13),5)</f>
        <v>9520.2000000000007</v>
      </c>
      <c r="L14" s="18">
        <f>ROUND(SUM(L10:L13),5)</f>
        <v>9350</v>
      </c>
      <c r="N14" s="13">
        <f>ROUND(SUM(N10:N13),5)</f>
        <v>9350</v>
      </c>
      <c r="O14" s="17">
        <f>(+H14-J14)/J14</f>
        <v>5.0150206928425735E-2</v>
      </c>
      <c r="P14" s="17">
        <f>(+H14-N14)/N14</f>
        <v>6.9266310160427752E-2</v>
      </c>
    </row>
    <row r="15" spans="1:16" ht="30" hidden="1" customHeight="1" x14ac:dyDescent="0.35">
      <c r="A15" s="1"/>
      <c r="B15" s="1"/>
      <c r="C15" s="1"/>
      <c r="D15" s="1" t="s">
        <v>10</v>
      </c>
      <c r="E15" s="1"/>
      <c r="F15" s="1"/>
      <c r="G15" s="1"/>
      <c r="H15" s="13">
        <v>0</v>
      </c>
      <c r="I15" s="14"/>
      <c r="J15" s="13">
        <v>0</v>
      </c>
      <c r="L15" s="5">
        <f>+N15/12*$L$1</f>
        <v>0</v>
      </c>
      <c r="N15" s="5">
        <v>0</v>
      </c>
      <c r="O15" s="17" t="e">
        <f>(+H15-J15)/J15</f>
        <v>#DIV/0!</v>
      </c>
      <c r="P15" s="17" t="e">
        <f>(+H15-N15)/N15</f>
        <v>#DIV/0!</v>
      </c>
    </row>
    <row r="16" spans="1:16" x14ac:dyDescent="0.35">
      <c r="A16" s="1"/>
      <c r="B16" s="1"/>
      <c r="C16" s="1"/>
      <c r="D16" s="1" t="s">
        <v>11</v>
      </c>
      <c r="E16" s="1"/>
      <c r="F16" s="1"/>
      <c r="G16" s="1"/>
      <c r="H16" s="13"/>
      <c r="I16" s="14"/>
      <c r="J16" s="13"/>
    </row>
    <row r="17" spans="1:16" hidden="1" x14ac:dyDescent="0.35">
      <c r="A17" s="1"/>
      <c r="B17" s="1"/>
      <c r="C17" s="1"/>
      <c r="D17" s="1"/>
      <c r="E17" s="1" t="s">
        <v>12</v>
      </c>
      <c r="F17" s="1"/>
      <c r="G17" s="1"/>
      <c r="H17" s="13"/>
      <c r="I17" s="14"/>
      <c r="J17" s="13"/>
    </row>
    <row r="18" spans="1:16" ht="15" hidden="1" thickBot="1" x14ac:dyDescent="0.4">
      <c r="A18" s="1"/>
      <c r="B18" s="1"/>
      <c r="C18" s="1"/>
      <c r="D18" s="1"/>
      <c r="E18" s="1"/>
      <c r="F18" s="1" t="s">
        <v>13</v>
      </c>
      <c r="G18" s="1"/>
      <c r="H18" s="19">
        <v>0</v>
      </c>
      <c r="I18" s="14"/>
      <c r="J18" s="13">
        <v>0</v>
      </c>
      <c r="L18" s="5">
        <f>+N18/12*$L$1</f>
        <v>0</v>
      </c>
      <c r="N18" s="5">
        <v>0</v>
      </c>
    </row>
    <row r="19" spans="1:16" ht="15" hidden="1" thickBot="1" x14ac:dyDescent="0.4">
      <c r="A19" s="1"/>
      <c r="B19" s="1"/>
      <c r="C19" s="1"/>
      <c r="D19" s="1"/>
      <c r="E19" s="1" t="s">
        <v>14</v>
      </c>
      <c r="F19" s="1"/>
      <c r="G19" s="1"/>
      <c r="H19" s="20">
        <f>ROUND(SUM(H17:H18),5)</f>
        <v>0</v>
      </c>
      <c r="I19" s="14"/>
      <c r="J19" s="20">
        <f>ROUND(SUM(J17:J18),5)</f>
        <v>0</v>
      </c>
      <c r="L19" s="21">
        <f>ROUND(SUM(L17:L18),5)</f>
        <v>0</v>
      </c>
      <c r="N19" s="20">
        <f>ROUND(SUM(N17:N18),5)</f>
        <v>0</v>
      </c>
    </row>
    <row r="20" spans="1:16" x14ac:dyDescent="0.35">
      <c r="A20" s="1"/>
      <c r="B20" s="1"/>
      <c r="C20" s="1"/>
      <c r="D20" s="1"/>
      <c r="E20" s="1" t="s">
        <v>190</v>
      </c>
      <c r="F20" s="1"/>
      <c r="G20" s="1"/>
      <c r="H20" s="13">
        <v>13910.26</v>
      </c>
      <c r="I20" s="14"/>
      <c r="J20" s="13">
        <v>4688.67</v>
      </c>
      <c r="L20" s="13">
        <f>+N20/12*$L$1</f>
        <v>0</v>
      </c>
      <c r="N20" s="13">
        <v>0</v>
      </c>
    </row>
    <row r="21" spans="1:16" x14ac:dyDescent="0.35">
      <c r="A21" s="1"/>
      <c r="B21" s="1"/>
      <c r="C21" s="1"/>
      <c r="D21" s="1"/>
      <c r="E21" s="1" t="s">
        <v>191</v>
      </c>
      <c r="F21" s="1"/>
      <c r="G21" s="1"/>
      <c r="H21" s="13">
        <v>0</v>
      </c>
      <c r="I21" s="14"/>
      <c r="J21" s="13">
        <v>0</v>
      </c>
      <c r="L21" s="18">
        <f>+N21/12*$L$1</f>
        <v>19850</v>
      </c>
      <c r="N21" s="13">
        <v>19850</v>
      </c>
    </row>
    <row r="22" spans="1:16" ht="30" customHeight="1" x14ac:dyDescent="0.35">
      <c r="A22" s="1"/>
      <c r="B22" s="1"/>
      <c r="C22" s="1"/>
      <c r="D22" s="1" t="s">
        <v>15</v>
      </c>
      <c r="E22" s="1"/>
      <c r="F22" s="1"/>
      <c r="G22" s="1"/>
      <c r="H22" s="13">
        <f>ROUND(H16+H19+H20+H21,5)</f>
        <v>13910.26</v>
      </c>
      <c r="I22" s="14"/>
      <c r="J22" s="13">
        <f>ROUND(J16+J19+J20+J21,5)</f>
        <v>4688.67</v>
      </c>
      <c r="L22" s="18">
        <f>ROUND(L16+L19+L20+L21,5)</f>
        <v>19850</v>
      </c>
      <c r="N22" s="18">
        <f>ROUND(N16+N19+L20+N21,5)</f>
        <v>19850</v>
      </c>
    </row>
    <row r="23" spans="1:16" ht="30" hidden="1" customHeight="1" x14ac:dyDescent="0.35">
      <c r="A23" s="1"/>
      <c r="B23" s="1"/>
      <c r="C23" s="1"/>
      <c r="D23" s="1" t="s">
        <v>16</v>
      </c>
      <c r="E23" s="1"/>
      <c r="F23" s="1"/>
      <c r="G23" s="1"/>
      <c r="H23" s="13"/>
      <c r="I23" s="14"/>
      <c r="J23" s="13"/>
    </row>
    <row r="24" spans="1:16" ht="15" hidden="1" thickBot="1" x14ac:dyDescent="0.4">
      <c r="A24" s="1"/>
      <c r="B24" s="1"/>
      <c r="C24" s="1"/>
      <c r="D24" s="1"/>
      <c r="E24" s="1" t="s">
        <v>17</v>
      </c>
      <c r="F24" s="1"/>
      <c r="G24" s="1"/>
      <c r="H24" s="16">
        <v>0</v>
      </c>
      <c r="I24" s="14"/>
      <c r="J24" s="16">
        <v>0</v>
      </c>
      <c r="L24" s="16">
        <f>+N24/12*$L$1</f>
        <v>0</v>
      </c>
      <c r="N24" s="16">
        <v>0</v>
      </c>
    </row>
    <row r="25" spans="1:16" hidden="1" x14ac:dyDescent="0.35">
      <c r="A25" s="1"/>
      <c r="B25" s="1"/>
      <c r="C25" s="1"/>
      <c r="D25" s="1" t="s">
        <v>18</v>
      </c>
      <c r="E25" s="1"/>
      <c r="F25" s="1"/>
      <c r="G25" s="1"/>
      <c r="H25" s="13">
        <f>ROUND(SUM(H23:H24),5)</f>
        <v>0</v>
      </c>
      <c r="I25" s="14"/>
      <c r="J25" s="13">
        <f>ROUND(SUM(J23:J24),5)</f>
        <v>0</v>
      </c>
      <c r="L25" s="22">
        <f>ROUND(SUM(L23:L24),5)</f>
        <v>0</v>
      </c>
      <c r="N25" s="13">
        <f>ROUND(SUM(N23:N24),5)</f>
        <v>0</v>
      </c>
    </row>
    <row r="26" spans="1:16" ht="30.75" customHeight="1" x14ac:dyDescent="0.35">
      <c r="A26" s="1"/>
      <c r="B26" s="1"/>
      <c r="C26" s="1"/>
      <c r="D26" s="1" t="s">
        <v>19</v>
      </c>
      <c r="E26" s="1"/>
      <c r="F26" s="1"/>
      <c r="G26" s="1"/>
      <c r="H26" s="13"/>
      <c r="I26" s="14"/>
      <c r="J26" s="13"/>
    </row>
    <row r="27" spans="1:16" ht="15" customHeight="1" x14ac:dyDescent="0.35">
      <c r="A27" s="1"/>
      <c r="B27" s="1"/>
      <c r="C27" s="1"/>
      <c r="D27" s="1"/>
      <c r="E27" s="1" t="s">
        <v>159</v>
      </c>
      <c r="F27" s="1"/>
      <c r="G27" s="1"/>
      <c r="H27" s="13">
        <v>0</v>
      </c>
      <c r="I27" s="14"/>
      <c r="J27" s="13">
        <v>0</v>
      </c>
    </row>
    <row r="28" spans="1:16" ht="15" thickBot="1" x14ac:dyDescent="0.4">
      <c r="A28" s="1"/>
      <c r="B28" s="1"/>
      <c r="C28" s="1"/>
      <c r="D28" s="1"/>
      <c r="E28" s="1" t="s">
        <v>20</v>
      </c>
      <c r="F28" s="1"/>
      <c r="G28" s="1"/>
      <c r="H28" s="13">
        <v>0</v>
      </c>
      <c r="I28" s="14"/>
      <c r="J28" s="13">
        <v>15</v>
      </c>
      <c r="N28" s="5">
        <v>6000</v>
      </c>
    </row>
    <row r="29" spans="1:16" hidden="1" x14ac:dyDescent="0.35">
      <c r="A29" s="1"/>
      <c r="B29" s="1"/>
      <c r="C29" s="1"/>
      <c r="D29" s="1"/>
      <c r="E29" s="1" t="s">
        <v>152</v>
      </c>
      <c r="F29" s="1"/>
      <c r="G29" s="1"/>
      <c r="H29" s="13">
        <v>0</v>
      </c>
      <c r="I29" s="14"/>
      <c r="J29" s="13">
        <v>0</v>
      </c>
      <c r="L29" s="18"/>
      <c r="N29" s="13"/>
    </row>
    <row r="30" spans="1:16" hidden="1" x14ac:dyDescent="0.35">
      <c r="A30" s="1"/>
      <c r="B30" s="1"/>
      <c r="C30" s="1"/>
      <c r="D30" s="1"/>
      <c r="E30" s="1" t="s">
        <v>21</v>
      </c>
      <c r="F30" s="1"/>
      <c r="G30" s="1"/>
      <c r="H30" s="13">
        <f>ROUND(SUM(H27:H29),5)</f>
        <v>0</v>
      </c>
      <c r="I30" s="14"/>
      <c r="J30" s="13">
        <f>ROUND(SUM(J27:J29),5)</f>
        <v>15</v>
      </c>
      <c r="L30" s="5">
        <f>+N30/12*$L$1</f>
        <v>6000</v>
      </c>
      <c r="N30" s="13">
        <f>ROUND(SUM(N27:N29),5)</f>
        <v>6000</v>
      </c>
    </row>
    <row r="31" spans="1:16" ht="15" hidden="1" customHeight="1" thickBot="1" x14ac:dyDescent="0.4">
      <c r="A31" s="1"/>
      <c r="B31" s="1"/>
      <c r="C31" s="1"/>
      <c r="D31" s="1"/>
      <c r="E31" s="1" t="s">
        <v>22</v>
      </c>
      <c r="F31" s="1"/>
      <c r="G31" s="1"/>
      <c r="H31" s="16">
        <v>0</v>
      </c>
      <c r="I31" s="14"/>
      <c r="J31" s="16">
        <v>0</v>
      </c>
      <c r="L31" s="23"/>
      <c r="N31" s="16">
        <v>0</v>
      </c>
    </row>
    <row r="32" spans="1:16" x14ac:dyDescent="0.35">
      <c r="A32" s="1"/>
      <c r="B32" s="1"/>
      <c r="C32" s="1"/>
      <c r="D32" s="1" t="s">
        <v>23</v>
      </c>
      <c r="E32" s="1"/>
      <c r="F32" s="1"/>
      <c r="G32" s="1"/>
      <c r="H32" s="26">
        <f>ROUND(H26+SUM(H30:H31),5)</f>
        <v>0</v>
      </c>
      <c r="I32" s="14"/>
      <c r="J32" s="26">
        <f>ROUND(J26+SUM(J30:J31),5)</f>
        <v>15</v>
      </c>
      <c r="L32" s="18">
        <f>+N32/12*$L$1</f>
        <v>6000</v>
      </c>
      <c r="N32" s="26">
        <f>ROUND(N26+SUM(N30:N31),5)</f>
        <v>6000</v>
      </c>
      <c r="O32" s="17">
        <f>(+H32-J32)/J32</f>
        <v>-1</v>
      </c>
      <c r="P32" s="17">
        <f>(+H32-N32)/N32</f>
        <v>-1</v>
      </c>
    </row>
    <row r="33" spans="1:16" ht="30" hidden="1" customHeight="1" x14ac:dyDescent="0.35">
      <c r="A33" s="1"/>
      <c r="B33" s="1"/>
      <c r="C33" s="1"/>
      <c r="D33" s="1" t="s">
        <v>24</v>
      </c>
      <c r="E33" s="1"/>
      <c r="F33" s="1"/>
      <c r="G33" s="1"/>
      <c r="H33" s="13">
        <v>0</v>
      </c>
      <c r="I33" s="14"/>
      <c r="J33" s="13">
        <v>0</v>
      </c>
      <c r="L33" s="5">
        <f>+N33/12*$L$1</f>
        <v>0</v>
      </c>
    </row>
    <row r="34" spans="1:16" ht="16.5" customHeight="1" x14ac:dyDescent="0.35">
      <c r="A34" s="1"/>
      <c r="B34" s="1"/>
      <c r="C34" s="1"/>
      <c r="D34" s="1" t="s">
        <v>25</v>
      </c>
      <c r="E34" s="1"/>
      <c r="F34" s="1"/>
      <c r="G34" s="1"/>
      <c r="H34" s="13">
        <v>2100</v>
      </c>
      <c r="I34" s="14"/>
      <c r="J34" s="13">
        <v>1850</v>
      </c>
      <c r="L34" s="5">
        <f>+N34/12*$L$1</f>
        <v>2000</v>
      </c>
      <c r="N34" s="5">
        <v>2000</v>
      </c>
      <c r="O34" s="17">
        <f>(+H34-J34)/J34</f>
        <v>0.13513513513513514</v>
      </c>
      <c r="P34" s="17">
        <f>(+H34-N34)/N34</f>
        <v>0.05</v>
      </c>
    </row>
    <row r="35" spans="1:16" ht="16.5" customHeight="1" thickBot="1" x14ac:dyDescent="0.4">
      <c r="A35" s="1"/>
      <c r="B35" s="1"/>
      <c r="C35" s="1"/>
      <c r="D35" s="1" t="s">
        <v>132</v>
      </c>
      <c r="E35" s="1"/>
      <c r="F35" s="1"/>
      <c r="G35" s="1"/>
      <c r="H35" s="13">
        <v>4674.82</v>
      </c>
      <c r="I35" s="14"/>
      <c r="J35" s="13">
        <v>302</v>
      </c>
      <c r="L35" s="5">
        <f>+N35/12*$L$1</f>
        <v>20360</v>
      </c>
      <c r="N35" s="5">
        <f>1069+11291+8000</f>
        <v>20360</v>
      </c>
    </row>
    <row r="36" spans="1:16" ht="15" thickBot="1" x14ac:dyDescent="0.4">
      <c r="A36" s="1"/>
      <c r="B36" s="1"/>
      <c r="C36" s="1" t="s">
        <v>26</v>
      </c>
      <c r="D36" s="1"/>
      <c r="E36" s="1"/>
      <c r="F36" s="1"/>
      <c r="G36" s="1"/>
      <c r="H36" s="20">
        <f>ROUND(H3+SUM(H8:H9)+SUM(H14:H15)+H22+H25+SUM(H32:H35),5)</f>
        <v>423885.76</v>
      </c>
      <c r="I36" s="14"/>
      <c r="J36" s="20">
        <f>ROUND(J3+SUM(J8:J9)+SUM(J14:J15)+J22+J25+SUM(J32:J35),5)</f>
        <v>379178.93</v>
      </c>
      <c r="L36" s="20">
        <f>ROUND(L3+SUM(L8:L9)+SUM(L14:L15)+L22+L25+SUM(L32:L35),5)</f>
        <v>431585</v>
      </c>
      <c r="N36" s="20">
        <f>ROUND(N3+SUM(N8:N9)+SUM(N14:N15)+N22+N25+SUM(N32:N35),5)</f>
        <v>431585</v>
      </c>
      <c r="O36" s="24"/>
      <c r="P36" s="24"/>
    </row>
    <row r="37" spans="1:16" ht="30" customHeight="1" thickBot="1" x14ac:dyDescent="0.4">
      <c r="A37" s="1"/>
      <c r="B37" s="1" t="s">
        <v>27</v>
      </c>
      <c r="C37" s="1"/>
      <c r="D37" s="1"/>
      <c r="E37" s="1"/>
      <c r="F37" s="1"/>
      <c r="G37" s="1"/>
      <c r="H37" s="13">
        <f>H36</f>
        <v>423885.76</v>
      </c>
      <c r="I37" s="14"/>
      <c r="J37" s="13">
        <f>J36</f>
        <v>379178.93</v>
      </c>
      <c r="L37" s="18">
        <f>L36</f>
        <v>431585</v>
      </c>
      <c r="N37" s="13">
        <f>N36</f>
        <v>431585</v>
      </c>
      <c r="O37" s="25">
        <f>(+H37-J37)/J37</f>
        <v>0.1179043097146775</v>
      </c>
      <c r="P37" s="25">
        <f>(+H37-N37)/N37</f>
        <v>-1.7839452251584256E-2</v>
      </c>
    </row>
    <row r="38" spans="1:16" ht="30" customHeight="1" x14ac:dyDescent="0.35">
      <c r="A38" s="1"/>
      <c r="B38" s="1"/>
      <c r="C38" s="1" t="s">
        <v>28</v>
      </c>
      <c r="D38" s="1"/>
      <c r="E38" s="1"/>
      <c r="F38" s="1"/>
      <c r="G38" s="1"/>
      <c r="H38" s="13"/>
      <c r="I38" s="14"/>
      <c r="J38" s="13"/>
    </row>
    <row r="39" spans="1:16" x14ac:dyDescent="0.35">
      <c r="A39" s="1"/>
      <c r="B39" s="1"/>
      <c r="C39" s="1"/>
      <c r="D39" s="1" t="s">
        <v>29</v>
      </c>
      <c r="E39" s="1"/>
      <c r="F39" s="1"/>
      <c r="G39" s="1"/>
      <c r="H39" s="13"/>
      <c r="I39" s="14"/>
      <c r="J39" s="13"/>
    </row>
    <row r="40" spans="1:16" x14ac:dyDescent="0.35">
      <c r="A40" s="1"/>
      <c r="B40" s="1"/>
      <c r="C40" s="1"/>
      <c r="D40" s="1"/>
      <c r="E40" s="1" t="s">
        <v>30</v>
      </c>
      <c r="F40" s="1"/>
      <c r="G40" s="1"/>
      <c r="H40" s="13"/>
      <c r="I40" s="14"/>
      <c r="J40" s="13"/>
    </row>
    <row r="41" spans="1:16" hidden="1" x14ac:dyDescent="0.35">
      <c r="A41" s="1"/>
      <c r="B41" s="1"/>
      <c r="C41" s="1"/>
      <c r="D41" s="1"/>
      <c r="E41" s="1"/>
      <c r="F41" s="1" t="s">
        <v>31</v>
      </c>
      <c r="G41" s="1"/>
      <c r="H41" s="13">
        <v>0</v>
      </c>
      <c r="I41" s="14"/>
      <c r="J41" s="13">
        <v>0</v>
      </c>
      <c r="L41" s="5">
        <f>+N41/12*$L$1</f>
        <v>0</v>
      </c>
      <c r="N41" s="5">
        <v>0</v>
      </c>
    </row>
    <row r="42" spans="1:16" x14ac:dyDescent="0.35">
      <c r="A42" s="1"/>
      <c r="B42" s="1"/>
      <c r="C42" s="1"/>
      <c r="D42" s="1"/>
      <c r="E42" s="1"/>
      <c r="F42" s="1" t="s">
        <v>32</v>
      </c>
      <c r="G42" s="1"/>
      <c r="H42" s="13">
        <v>1259.72</v>
      </c>
      <c r="I42" s="14"/>
      <c r="J42" s="13">
        <v>1259.72</v>
      </c>
      <c r="L42" s="5">
        <f t="shared" ref="L42:L47" si="0">+N42/12*$L$1</f>
        <v>1260</v>
      </c>
      <c r="N42" s="5">
        <v>1260</v>
      </c>
    </row>
    <row r="43" spans="1:16" x14ac:dyDescent="0.35">
      <c r="A43" s="1"/>
      <c r="B43" s="1"/>
      <c r="C43" s="1"/>
      <c r="D43" s="1"/>
      <c r="E43" s="1"/>
      <c r="F43" s="1" t="s">
        <v>134</v>
      </c>
      <c r="G43" s="1"/>
      <c r="H43" s="13">
        <v>17901.900000000001</v>
      </c>
      <c r="I43" s="14"/>
      <c r="J43" s="13">
        <v>13347.22</v>
      </c>
      <c r="L43" s="5">
        <f t="shared" si="0"/>
        <v>15000</v>
      </c>
      <c r="N43" s="5">
        <v>15000</v>
      </c>
    </row>
    <row r="44" spans="1:16" x14ac:dyDescent="0.35">
      <c r="A44" s="1"/>
      <c r="B44" s="1"/>
      <c r="C44" s="1"/>
      <c r="D44" s="1"/>
      <c r="E44" s="1"/>
      <c r="F44" s="1" t="s">
        <v>135</v>
      </c>
      <c r="G44" s="1"/>
      <c r="H44" s="13">
        <v>3564.06</v>
      </c>
      <c r="I44" s="14"/>
      <c r="J44" s="13">
        <v>3564.06</v>
      </c>
      <c r="L44" s="5">
        <f t="shared" si="0"/>
        <v>3565</v>
      </c>
      <c r="N44" s="5">
        <v>3565</v>
      </c>
    </row>
    <row r="45" spans="1:16" x14ac:dyDescent="0.35">
      <c r="A45" s="1"/>
      <c r="B45" s="1"/>
      <c r="C45" s="1"/>
      <c r="D45" s="1"/>
      <c r="E45" s="1"/>
      <c r="F45" s="1" t="s">
        <v>33</v>
      </c>
      <c r="G45" s="1"/>
      <c r="H45" s="13">
        <v>1469.33</v>
      </c>
      <c r="I45" s="14"/>
      <c r="J45" s="13">
        <v>1363.48</v>
      </c>
      <c r="L45" s="5">
        <f t="shared" si="0"/>
        <v>1370</v>
      </c>
      <c r="N45" s="5">
        <v>1370</v>
      </c>
    </row>
    <row r="46" spans="1:16" ht="15" thickBot="1" x14ac:dyDescent="0.4">
      <c r="A46" s="1"/>
      <c r="B46" s="1"/>
      <c r="C46" s="1"/>
      <c r="D46" s="1"/>
      <c r="E46" s="1"/>
      <c r="F46" s="1" t="s">
        <v>34</v>
      </c>
      <c r="G46" s="1"/>
      <c r="H46" s="13">
        <v>2166.79</v>
      </c>
      <c r="I46" s="14"/>
      <c r="J46" s="13">
        <v>2057.36</v>
      </c>
      <c r="L46" s="5">
        <f t="shared" si="0"/>
        <v>2000</v>
      </c>
      <c r="N46" s="5">
        <v>2000</v>
      </c>
    </row>
    <row r="47" spans="1:16" ht="15" hidden="1" thickBot="1" x14ac:dyDescent="0.4">
      <c r="A47" s="1"/>
      <c r="B47" s="1"/>
      <c r="C47" s="1"/>
      <c r="D47" s="1"/>
      <c r="E47" s="1"/>
      <c r="F47" s="1" t="s">
        <v>136</v>
      </c>
      <c r="G47" s="1"/>
      <c r="H47" s="16">
        <v>0</v>
      </c>
      <c r="I47" s="14"/>
      <c r="J47" s="16">
        <v>0</v>
      </c>
      <c r="L47" s="16">
        <f t="shared" si="0"/>
        <v>0</v>
      </c>
      <c r="N47" s="16">
        <v>0</v>
      </c>
    </row>
    <row r="48" spans="1:16" x14ac:dyDescent="0.35">
      <c r="A48" s="1"/>
      <c r="B48" s="1"/>
      <c r="C48" s="1"/>
      <c r="D48" s="1"/>
      <c r="E48" s="1" t="s">
        <v>35</v>
      </c>
      <c r="F48" s="1"/>
      <c r="G48" s="1"/>
      <c r="H48" s="26">
        <f>ROUND(SUM(H40:H47),5)</f>
        <v>26361.8</v>
      </c>
      <c r="I48" s="14"/>
      <c r="J48" s="26">
        <f>ROUND(SUM(J40:J47),5)</f>
        <v>21591.84</v>
      </c>
      <c r="L48" s="26">
        <f>ROUND(SUM(L40:L47),5)</f>
        <v>23195</v>
      </c>
      <c r="N48" s="26">
        <f>ROUND(SUM(N40:N47),5)</f>
        <v>23195</v>
      </c>
      <c r="O48" s="17">
        <f>(+H48-J48)/J48</f>
        <v>0.22091493823592612</v>
      </c>
      <c r="P48" s="17">
        <f>(+H48-N48)/N48</f>
        <v>0.13652942444492344</v>
      </c>
    </row>
    <row r="49" spans="1:16" ht="30" customHeight="1" x14ac:dyDescent="0.35">
      <c r="A49" s="1"/>
      <c r="B49" s="1"/>
      <c r="C49" s="1"/>
      <c r="D49" s="1"/>
      <c r="E49" s="1" t="s">
        <v>36</v>
      </c>
      <c r="F49" s="1"/>
      <c r="G49" s="1"/>
      <c r="H49" s="13"/>
      <c r="I49" s="14"/>
      <c r="J49" s="13"/>
    </row>
    <row r="50" spans="1:16" x14ac:dyDescent="0.35">
      <c r="A50" s="1"/>
      <c r="B50" s="1"/>
      <c r="C50" s="1"/>
      <c r="D50" s="1"/>
      <c r="E50" s="1"/>
      <c r="F50" s="1" t="s">
        <v>37</v>
      </c>
      <c r="G50" s="1"/>
      <c r="H50" s="13"/>
      <c r="I50" s="14"/>
      <c r="J50" s="13"/>
    </row>
    <row r="51" spans="1:16" x14ac:dyDescent="0.35">
      <c r="A51" s="1"/>
      <c r="B51" s="1"/>
      <c r="C51" s="1"/>
      <c r="D51" s="1"/>
      <c r="E51" s="1"/>
      <c r="F51" s="1"/>
      <c r="G51" s="1" t="s">
        <v>38</v>
      </c>
      <c r="H51" s="13">
        <v>7320.12</v>
      </c>
      <c r="I51" s="14"/>
      <c r="J51" s="13">
        <v>9300</v>
      </c>
      <c r="L51" s="5">
        <f t="shared" ref="L51:L56" si="1">+N51/12*$L$1</f>
        <v>9300</v>
      </c>
      <c r="N51" s="5">
        <v>9300</v>
      </c>
    </row>
    <row r="52" spans="1:16" x14ac:dyDescent="0.35">
      <c r="A52" s="1"/>
      <c r="B52" s="1"/>
      <c r="C52" s="1"/>
      <c r="D52" s="1"/>
      <c r="E52" s="1"/>
      <c r="F52" s="1"/>
      <c r="G52" s="1" t="s">
        <v>39</v>
      </c>
      <c r="H52" s="13">
        <v>914.41</v>
      </c>
      <c r="I52" s="14"/>
      <c r="J52" s="13">
        <v>660.22</v>
      </c>
      <c r="L52" s="5">
        <f t="shared" si="1"/>
        <v>500</v>
      </c>
      <c r="N52" s="5">
        <v>500</v>
      </c>
    </row>
    <row r="53" spans="1:16" x14ac:dyDescent="0.35">
      <c r="A53" s="1"/>
      <c r="B53" s="1"/>
      <c r="C53" s="1"/>
      <c r="D53" s="1"/>
      <c r="E53" s="1"/>
      <c r="F53" s="1"/>
      <c r="G53" s="1" t="s">
        <v>40</v>
      </c>
      <c r="H53" s="13">
        <v>18864.68</v>
      </c>
      <c r="I53" s="14"/>
      <c r="J53" s="13">
        <v>12293.27</v>
      </c>
      <c r="L53" s="5">
        <f t="shared" si="1"/>
        <v>15252</v>
      </c>
      <c r="N53" s="5">
        <f>14752+500</f>
        <v>15252</v>
      </c>
      <c r="O53" s="17">
        <f>(+H53-J53)/J53</f>
        <v>0.53455345892508666</v>
      </c>
      <c r="P53" s="17">
        <f>(+H53-N53)/N53</f>
        <v>0.23686598478888016</v>
      </c>
    </row>
    <row r="54" spans="1:16" x14ac:dyDescent="0.35">
      <c r="A54" s="1"/>
      <c r="B54" s="1"/>
      <c r="C54" s="1"/>
      <c r="D54" s="1"/>
      <c r="E54" s="1"/>
      <c r="F54" s="1"/>
      <c r="G54" s="1" t="s">
        <v>185</v>
      </c>
      <c r="H54" s="13">
        <v>25636.79</v>
      </c>
      <c r="I54" s="14"/>
      <c r="J54" s="13">
        <v>17683.05</v>
      </c>
      <c r="L54" s="5">
        <f t="shared" si="1"/>
        <v>24178</v>
      </c>
      <c r="N54" s="5">
        <v>24178</v>
      </c>
      <c r="O54" s="17"/>
      <c r="P54" s="17"/>
    </row>
    <row r="55" spans="1:16" x14ac:dyDescent="0.35">
      <c r="A55" s="1"/>
      <c r="B55" s="1"/>
      <c r="C55" s="1"/>
      <c r="D55" s="1"/>
      <c r="E55" s="1"/>
      <c r="F55" s="1"/>
      <c r="G55" s="1" t="s">
        <v>137</v>
      </c>
      <c r="H55" s="13">
        <v>156.22999999999999</v>
      </c>
      <c r="I55" s="14"/>
      <c r="J55" s="13">
        <v>148.38</v>
      </c>
      <c r="L55" s="5">
        <f t="shared" si="1"/>
        <v>300</v>
      </c>
      <c r="N55" s="5">
        <v>300</v>
      </c>
    </row>
    <row r="56" spans="1:16" ht="15" thickBot="1" x14ac:dyDescent="0.4">
      <c r="A56" s="1"/>
      <c r="B56" s="1"/>
      <c r="C56" s="1"/>
      <c r="D56" s="1"/>
      <c r="E56" s="1"/>
      <c r="F56" s="1"/>
      <c r="G56" s="1" t="s">
        <v>41</v>
      </c>
      <c r="H56" s="13">
        <v>8827.5</v>
      </c>
      <c r="I56" s="14"/>
      <c r="J56" s="13">
        <v>10260</v>
      </c>
      <c r="L56" s="13">
        <f t="shared" si="1"/>
        <v>10000</v>
      </c>
      <c r="N56" s="13">
        <v>10000</v>
      </c>
      <c r="O56" s="17">
        <f>(+H56-J56)/J56</f>
        <v>-0.13961988304093567</v>
      </c>
      <c r="P56" s="17">
        <f>(+H56-N56)/N56</f>
        <v>-0.11724999999999999</v>
      </c>
    </row>
    <row r="57" spans="1:16" ht="15" hidden="1" thickBot="1" x14ac:dyDescent="0.4">
      <c r="A57" s="1"/>
      <c r="B57" s="1"/>
      <c r="C57" s="1"/>
      <c r="D57" s="1"/>
      <c r="E57" s="1"/>
      <c r="F57" s="1"/>
      <c r="G57" s="1" t="s">
        <v>163</v>
      </c>
      <c r="H57" s="16">
        <v>0</v>
      </c>
      <c r="I57" s="14"/>
      <c r="J57" s="16">
        <v>0</v>
      </c>
      <c r="L57" s="16"/>
      <c r="N57" s="16"/>
    </row>
    <row r="58" spans="1:16" x14ac:dyDescent="0.35">
      <c r="A58" s="1"/>
      <c r="B58" s="1"/>
      <c r="C58" s="1"/>
      <c r="D58" s="1"/>
      <c r="E58" s="1"/>
      <c r="F58" s="1" t="s">
        <v>42</v>
      </c>
      <c r="G58" s="1"/>
      <c r="H58" s="26">
        <f>ROUND(SUM(H50:H57),5)</f>
        <v>61719.73</v>
      </c>
      <c r="I58" s="14"/>
      <c r="J58" s="26">
        <f>ROUND(SUM(J50:J57),5)</f>
        <v>50344.92</v>
      </c>
      <c r="L58" s="26">
        <f>ROUND(SUM(L50:L57),5)</f>
        <v>59530</v>
      </c>
      <c r="N58" s="26">
        <f>ROUND(SUM(N50:N57),5)</f>
        <v>59530</v>
      </c>
      <c r="O58" s="17">
        <f>(+H58-J58)/J58</f>
        <v>0.22593759211455705</v>
      </c>
      <c r="P58" s="17">
        <f>(+H58-N58)/N58</f>
        <v>3.678363850159589E-2</v>
      </c>
    </row>
    <row r="59" spans="1:16" ht="30" customHeight="1" x14ac:dyDescent="0.35">
      <c r="A59" s="1"/>
      <c r="B59" s="1"/>
      <c r="C59" s="1"/>
      <c r="D59" s="1"/>
      <c r="E59" s="1"/>
      <c r="F59" s="1" t="s">
        <v>43</v>
      </c>
      <c r="G59" s="1"/>
      <c r="H59" s="13"/>
      <c r="I59" s="14"/>
      <c r="J59" s="13"/>
    </row>
    <row r="60" spans="1:16" x14ac:dyDescent="0.35">
      <c r="A60" s="1"/>
      <c r="B60" s="1"/>
      <c r="C60" s="1"/>
      <c r="D60" s="1"/>
      <c r="E60" s="1"/>
      <c r="F60" s="1"/>
      <c r="G60" s="1" t="s">
        <v>44</v>
      </c>
      <c r="H60" s="13">
        <v>5859.03</v>
      </c>
      <c r="I60" s="14"/>
      <c r="J60" s="13">
        <v>6277.69</v>
      </c>
      <c r="L60" s="5">
        <f>+N60/12*$L$1</f>
        <v>6500</v>
      </c>
      <c r="N60" s="5">
        <v>6500</v>
      </c>
      <c r="O60" s="17">
        <f>(+H60-J60)/J60</f>
        <v>-6.6690136021370902E-2</v>
      </c>
      <c r="P60" s="17">
        <f>(+H60-N60)/N60</f>
        <v>-9.8610769230769266E-2</v>
      </c>
    </row>
    <row r="61" spans="1:16" x14ac:dyDescent="0.35">
      <c r="A61" s="1"/>
      <c r="B61" s="1"/>
      <c r="C61" s="1"/>
      <c r="D61" s="1"/>
      <c r="E61" s="1"/>
      <c r="F61" s="1"/>
      <c r="G61" s="1" t="s">
        <v>45</v>
      </c>
      <c r="H61" s="13">
        <v>6680.74</v>
      </c>
      <c r="I61" s="14"/>
      <c r="J61" s="13">
        <v>3637.8</v>
      </c>
      <c r="L61" s="5">
        <f>+N61/12*$L$1</f>
        <v>7500</v>
      </c>
      <c r="N61" s="5">
        <v>7500</v>
      </c>
    </row>
    <row r="62" spans="1:16" x14ac:dyDescent="0.35">
      <c r="A62" s="1"/>
      <c r="B62" s="1"/>
      <c r="C62" s="1"/>
      <c r="D62" s="1"/>
      <c r="E62" s="1"/>
      <c r="F62" s="1"/>
      <c r="G62" s="1" t="s">
        <v>46</v>
      </c>
      <c r="H62" s="13">
        <v>2002.25</v>
      </c>
      <c r="I62" s="14"/>
      <c r="J62" s="13">
        <v>2200.7600000000002</v>
      </c>
      <c r="L62" s="5">
        <f>+N62/12*$L$1</f>
        <v>2392</v>
      </c>
      <c r="N62" s="5">
        <v>2392</v>
      </c>
    </row>
    <row r="63" spans="1:16" x14ac:dyDescent="0.35">
      <c r="A63" s="1"/>
      <c r="B63" s="1"/>
      <c r="C63" s="1"/>
      <c r="D63" s="1"/>
      <c r="E63" s="1"/>
      <c r="F63" s="1"/>
      <c r="G63" s="1" t="s">
        <v>47</v>
      </c>
      <c r="H63" s="13">
        <v>526.44000000000005</v>
      </c>
      <c r="I63" s="14"/>
      <c r="J63" s="13">
        <v>400.78</v>
      </c>
      <c r="L63" s="5">
        <f>+N63/12*$L$1</f>
        <v>800</v>
      </c>
      <c r="N63" s="5">
        <v>800</v>
      </c>
    </row>
    <row r="64" spans="1:16" ht="15" thickBot="1" x14ac:dyDescent="0.4">
      <c r="A64" s="1"/>
      <c r="B64" s="1"/>
      <c r="C64" s="1"/>
      <c r="D64" s="1"/>
      <c r="E64" s="1"/>
      <c r="F64" s="1"/>
      <c r="G64" s="1" t="s">
        <v>48</v>
      </c>
      <c r="H64" s="13">
        <v>1522.46</v>
      </c>
      <c r="I64" s="14"/>
      <c r="J64" s="13">
        <v>1369.47</v>
      </c>
      <c r="L64" s="27">
        <f>+N64/12*$L$1</f>
        <v>1500</v>
      </c>
      <c r="N64" s="5">
        <v>1500</v>
      </c>
    </row>
    <row r="65" spans="1:17" ht="15" thickBot="1" x14ac:dyDescent="0.4">
      <c r="A65" s="1"/>
      <c r="B65" s="1"/>
      <c r="C65" s="1"/>
      <c r="D65" s="1"/>
      <c r="E65" s="1"/>
      <c r="F65" s="1" t="s">
        <v>49</v>
      </c>
      <c r="G65" s="1"/>
      <c r="H65" s="20">
        <f>ROUND(SUM(H59:H64),5)</f>
        <v>16590.919999999998</v>
      </c>
      <c r="I65" s="14"/>
      <c r="J65" s="20">
        <f>ROUND(SUM(J59:J64),5)</f>
        <v>13886.5</v>
      </c>
      <c r="L65" s="21">
        <f>ROUND(SUM(L59:L64),5)</f>
        <v>18692</v>
      </c>
      <c r="N65" s="28">
        <f>ROUND(SUM(N59:N64),5)</f>
        <v>18692</v>
      </c>
      <c r="O65" s="17">
        <f>(+H65-J65)/J65</f>
        <v>0.19475173729881526</v>
      </c>
      <c r="P65" s="17">
        <f>(+H65-N65)/N65</f>
        <v>-0.11240530708324427</v>
      </c>
    </row>
    <row r="66" spans="1:17" ht="30" customHeight="1" x14ac:dyDescent="0.35">
      <c r="A66" s="1"/>
      <c r="B66" s="1"/>
      <c r="C66" s="1"/>
      <c r="D66" s="1"/>
      <c r="E66" s="1" t="s">
        <v>50</v>
      </c>
      <c r="F66" s="1"/>
      <c r="G66" s="1"/>
      <c r="H66" s="13">
        <f>ROUND(H49+H58+H65,5)</f>
        <v>78310.649999999994</v>
      </c>
      <c r="I66" s="14"/>
      <c r="J66" s="13">
        <f>ROUND(J49+J58+J65,5)</f>
        <v>64231.42</v>
      </c>
      <c r="L66" s="18">
        <f>ROUND(L49+L58+L65,5)</f>
        <v>78222</v>
      </c>
      <c r="N66" s="13">
        <f>ROUND(N49+N58+N65,5)</f>
        <v>78222</v>
      </c>
    </row>
    <row r="67" spans="1:17" ht="30" customHeight="1" x14ac:dyDescent="0.35">
      <c r="A67" s="1"/>
      <c r="B67" s="1"/>
      <c r="C67" s="1"/>
      <c r="D67" s="1"/>
      <c r="E67" s="1" t="s">
        <v>51</v>
      </c>
      <c r="F67" s="1"/>
      <c r="G67" s="1"/>
      <c r="H67" s="13"/>
      <c r="I67" s="14"/>
      <c r="J67" s="13"/>
    </row>
    <row r="68" spans="1:17" ht="15" thickBot="1" x14ac:dyDescent="0.4">
      <c r="A68" s="1"/>
      <c r="B68" s="1"/>
      <c r="C68" s="1"/>
      <c r="D68" s="1"/>
      <c r="E68" s="1"/>
      <c r="F68" s="1" t="s">
        <v>182</v>
      </c>
      <c r="G68" s="1"/>
      <c r="H68" s="13">
        <v>23776</v>
      </c>
      <c r="I68" s="14"/>
      <c r="J68" s="13">
        <v>22107</v>
      </c>
      <c r="L68" s="5">
        <f>+N68/12*$L$1</f>
        <v>23766</v>
      </c>
      <c r="N68" s="5">
        <v>23766</v>
      </c>
    </row>
    <row r="69" spans="1:17" ht="15" hidden="1" thickBot="1" x14ac:dyDescent="0.4">
      <c r="A69" s="1"/>
      <c r="B69" s="1"/>
      <c r="C69" s="1"/>
      <c r="D69" s="1"/>
      <c r="E69" s="1"/>
      <c r="F69" s="1" t="s">
        <v>52</v>
      </c>
      <c r="G69" s="1"/>
      <c r="H69" s="13">
        <v>0</v>
      </c>
      <c r="I69" s="14"/>
      <c r="J69" s="13">
        <v>0</v>
      </c>
      <c r="L69" s="5">
        <f>+N69/12*$L$1</f>
        <v>0</v>
      </c>
      <c r="N69" s="5">
        <v>0</v>
      </c>
    </row>
    <row r="70" spans="1:17" ht="15" thickBot="1" x14ac:dyDescent="0.4">
      <c r="A70" s="1"/>
      <c r="B70" s="1"/>
      <c r="C70" s="1"/>
      <c r="D70" s="1"/>
      <c r="E70" s="1" t="s">
        <v>53</v>
      </c>
      <c r="F70" s="1"/>
      <c r="G70" s="1"/>
      <c r="H70" s="20">
        <f>ROUND(SUM(H67:H69),5)</f>
        <v>23776</v>
      </c>
      <c r="I70" s="14"/>
      <c r="J70" s="20">
        <f>ROUND(SUM(J67:J69),5)</f>
        <v>22107</v>
      </c>
      <c r="L70" s="21">
        <f>ROUND(SUM(L67:L69),5)</f>
        <v>23766</v>
      </c>
      <c r="N70" s="20">
        <f>ROUND(SUM(N67:N69),5)</f>
        <v>23766</v>
      </c>
      <c r="O70" s="17">
        <f>(+H70-J70)/J70</f>
        <v>7.5496449088524001E-2</v>
      </c>
      <c r="P70" s="17">
        <f>(+H70-N70)/N70</f>
        <v>4.207691660355129E-4</v>
      </c>
      <c r="Q70">
        <v>183</v>
      </c>
    </row>
    <row r="71" spans="1:17" ht="30" customHeight="1" x14ac:dyDescent="0.35">
      <c r="A71" s="1"/>
      <c r="B71" s="1"/>
      <c r="C71" s="1"/>
      <c r="D71" s="1" t="s">
        <v>54</v>
      </c>
      <c r="E71" s="1"/>
      <c r="F71" s="1"/>
      <c r="G71" s="1"/>
      <c r="H71" s="13">
        <f>ROUND(H39+H48+H66+H70,5)</f>
        <v>128448.45</v>
      </c>
      <c r="I71" s="14"/>
      <c r="J71" s="13">
        <f>ROUND(J39+J48+J66+J70,5)</f>
        <v>107930.26</v>
      </c>
      <c r="L71" s="18">
        <f>ROUND(L39+L48+L66+L70,5)</f>
        <v>125183</v>
      </c>
      <c r="N71" s="13">
        <f>ROUND(N39+N48+N66+N70,5)</f>
        <v>125183</v>
      </c>
    </row>
    <row r="72" spans="1:17" ht="30" customHeight="1" x14ac:dyDescent="0.35">
      <c r="A72" s="1"/>
      <c r="B72" s="1"/>
      <c r="C72" s="1"/>
      <c r="D72" s="1" t="s">
        <v>55</v>
      </c>
      <c r="E72" s="1"/>
      <c r="F72" s="1"/>
      <c r="G72" s="1"/>
      <c r="H72" s="13"/>
      <c r="I72" s="14"/>
      <c r="J72" s="13"/>
      <c r="Q72" s="37"/>
    </row>
    <row r="73" spans="1:17" ht="15" thickBot="1" x14ac:dyDescent="0.4">
      <c r="A73" s="1"/>
      <c r="B73" s="1"/>
      <c r="C73" s="1"/>
      <c r="D73" s="1"/>
      <c r="E73" s="1" t="s">
        <v>56</v>
      </c>
      <c r="F73" s="1"/>
      <c r="G73" s="1"/>
      <c r="H73" s="16">
        <f>62688+6631.68</f>
        <v>69319.679999999993</v>
      </c>
      <c r="I73" s="14"/>
      <c r="J73" s="16">
        <f>62523.65+3583.73</f>
        <v>66107.38</v>
      </c>
      <c r="L73" s="45">
        <f>+N73/12*$L$1</f>
        <v>69320</v>
      </c>
      <c r="N73" s="16">
        <f>86688+6632-N76</f>
        <v>69320</v>
      </c>
    </row>
    <row r="74" spans="1:17" ht="15" hidden="1" thickBot="1" x14ac:dyDescent="0.4">
      <c r="A74" s="1"/>
      <c r="B74" s="1"/>
      <c r="C74" s="1"/>
      <c r="D74" s="1"/>
      <c r="E74" s="1"/>
      <c r="F74" s="1" t="s">
        <v>57</v>
      </c>
      <c r="G74" s="1"/>
      <c r="H74" s="16"/>
      <c r="I74" s="14"/>
      <c r="J74" s="16"/>
      <c r="L74" s="45"/>
      <c r="N74" s="16"/>
      <c r="Q74" s="38"/>
    </row>
    <row r="75" spans="1:17" hidden="1" x14ac:dyDescent="0.35">
      <c r="A75" s="1"/>
      <c r="B75" s="1"/>
      <c r="C75" s="1"/>
      <c r="D75" s="1"/>
      <c r="E75" s="1" t="s">
        <v>58</v>
      </c>
      <c r="F75" s="1"/>
      <c r="G75" s="1"/>
      <c r="H75" s="13">
        <f>ROUND(SUM(H73:H74),5)</f>
        <v>69319.679999999993</v>
      </c>
      <c r="I75" s="14"/>
      <c r="J75" s="13">
        <f>ROUND(SUM(J73:J74),5)</f>
        <v>66107.38</v>
      </c>
      <c r="L75" s="18">
        <f>ROUND(SUM(L73:L74),5)</f>
        <v>69320</v>
      </c>
      <c r="N75" s="13">
        <f>ROUND(SUM(N73:N74),5)</f>
        <v>69320</v>
      </c>
      <c r="O75" s="17">
        <f>(+H75-J75)/J75</f>
        <v>4.8592154158884952E-2</v>
      </c>
      <c r="P75" s="17">
        <f>(+H75-N75)/N75</f>
        <v>-4.6162723601700078E-6</v>
      </c>
    </row>
    <row r="76" spans="1:17" ht="30" customHeight="1" x14ac:dyDescent="0.35">
      <c r="A76" s="1"/>
      <c r="B76" s="1"/>
      <c r="C76" s="1"/>
      <c r="D76" s="1"/>
      <c r="E76" s="1" t="s">
        <v>59</v>
      </c>
      <c r="F76" s="1"/>
      <c r="G76" s="1"/>
      <c r="H76" s="13">
        <v>24000</v>
      </c>
      <c r="I76" s="14"/>
      <c r="J76" s="13">
        <v>22000</v>
      </c>
      <c r="L76" s="5">
        <f>+N76/12*$L$1</f>
        <v>24000</v>
      </c>
      <c r="N76" s="5">
        <v>24000</v>
      </c>
      <c r="Q76" s="38"/>
    </row>
    <row r="77" spans="1:17" x14ac:dyDescent="0.35">
      <c r="A77" s="1"/>
      <c r="B77" s="1"/>
      <c r="C77" s="1"/>
      <c r="D77" s="1"/>
      <c r="E77" s="1" t="s">
        <v>60</v>
      </c>
      <c r="F77" s="1"/>
      <c r="G77" s="1"/>
      <c r="H77" s="13"/>
      <c r="I77" s="14"/>
      <c r="J77" s="13"/>
    </row>
    <row r="78" spans="1:17" x14ac:dyDescent="0.35">
      <c r="A78" s="1"/>
      <c r="B78" s="1"/>
      <c r="C78" s="1"/>
      <c r="D78" s="1"/>
      <c r="E78" s="1"/>
      <c r="F78" s="1" t="s">
        <v>61</v>
      </c>
      <c r="G78" s="1"/>
      <c r="H78" s="13">
        <v>8668.7999999999993</v>
      </c>
      <c r="I78" s="14"/>
      <c r="J78" s="13">
        <v>8184.62</v>
      </c>
      <c r="L78" s="5">
        <f t="shared" ref="L78:L84" si="2">+N78/12*$L$1</f>
        <v>8669</v>
      </c>
      <c r="N78" s="5">
        <v>8669</v>
      </c>
      <c r="Q78" s="39"/>
    </row>
    <row r="79" spans="1:17" x14ac:dyDescent="0.35">
      <c r="A79" s="1"/>
      <c r="B79" s="1"/>
      <c r="C79" s="1"/>
      <c r="D79" s="1"/>
      <c r="E79" s="1"/>
      <c r="F79" s="1" t="s">
        <v>62</v>
      </c>
      <c r="G79" s="1"/>
      <c r="H79" s="13">
        <v>14810.34</v>
      </c>
      <c r="I79" s="14"/>
      <c r="J79" s="13">
        <v>12160.37</v>
      </c>
      <c r="L79" s="5">
        <f t="shared" si="2"/>
        <v>14581</v>
      </c>
      <c r="N79" s="5">
        <v>14581</v>
      </c>
      <c r="Q79" s="38"/>
    </row>
    <row r="80" spans="1:17" x14ac:dyDescent="0.35">
      <c r="A80" s="1"/>
      <c r="B80" s="1"/>
      <c r="C80" s="1"/>
      <c r="D80" s="1"/>
      <c r="E80" s="1"/>
      <c r="F80" s="1" t="s">
        <v>63</v>
      </c>
      <c r="G80" s="1"/>
      <c r="H80" s="13">
        <v>1126.92</v>
      </c>
      <c r="I80" s="14"/>
      <c r="J80" s="13">
        <v>1001</v>
      </c>
      <c r="L80" s="5">
        <f t="shared" si="2"/>
        <v>1127</v>
      </c>
      <c r="N80" s="5">
        <v>1127</v>
      </c>
      <c r="Q80" s="38"/>
    </row>
    <row r="81" spans="1:18" ht="15" thickBot="1" x14ac:dyDescent="0.4">
      <c r="A81" s="1"/>
      <c r="B81" s="1"/>
      <c r="C81" s="1"/>
      <c r="D81" s="1"/>
      <c r="E81" s="1"/>
      <c r="F81" s="1" t="s">
        <v>64</v>
      </c>
      <c r="G81" s="1"/>
      <c r="H81" s="13">
        <v>728.16</v>
      </c>
      <c r="I81" s="14"/>
      <c r="J81" s="13">
        <v>646.79999999999995</v>
      </c>
      <c r="L81" s="5">
        <f t="shared" si="2"/>
        <v>780</v>
      </c>
      <c r="N81" s="5">
        <v>780</v>
      </c>
      <c r="Q81" s="38"/>
      <c r="R81" s="36"/>
    </row>
    <row r="82" spans="1:18" x14ac:dyDescent="0.35">
      <c r="A82" s="1"/>
      <c r="B82" s="1"/>
      <c r="C82" s="1"/>
      <c r="D82" s="1"/>
      <c r="E82" s="1" t="s">
        <v>65</v>
      </c>
      <c r="F82" s="1"/>
      <c r="G82" s="1"/>
      <c r="H82" s="26">
        <f>ROUND(SUM(H77:H81),5)</f>
        <v>25334.22</v>
      </c>
      <c r="I82" s="14"/>
      <c r="J82" s="26">
        <f>ROUND(SUM(J77:J81),5)</f>
        <v>21992.79</v>
      </c>
      <c r="L82" s="29">
        <f>ROUND(SUM(L77:L81),5)</f>
        <v>25157</v>
      </c>
      <c r="N82" s="26">
        <f>ROUND(SUM(N77:N81),5)</f>
        <v>25157</v>
      </c>
    </row>
    <row r="83" spans="1:18" x14ac:dyDescent="0.35">
      <c r="A83" s="1"/>
      <c r="B83" s="1"/>
      <c r="C83" s="1"/>
      <c r="D83" s="1"/>
      <c r="E83" s="1" t="s">
        <v>138</v>
      </c>
      <c r="F83" s="1"/>
      <c r="G83" s="1"/>
      <c r="H83" s="13">
        <v>6500</v>
      </c>
      <c r="I83" s="14"/>
      <c r="J83" s="13">
        <v>6628.49</v>
      </c>
      <c r="L83" s="5">
        <f t="shared" si="2"/>
        <v>6500</v>
      </c>
      <c r="N83" s="13">
        <v>6500</v>
      </c>
      <c r="Q83" s="38"/>
    </row>
    <row r="84" spans="1:18" x14ac:dyDescent="0.35">
      <c r="A84" s="1"/>
      <c r="B84" s="1"/>
      <c r="C84" s="1"/>
      <c r="D84" s="1"/>
      <c r="E84" s="1" t="s">
        <v>186</v>
      </c>
      <c r="F84" s="1"/>
      <c r="G84" s="1"/>
      <c r="H84" s="13">
        <v>5250</v>
      </c>
      <c r="I84" s="14"/>
      <c r="J84" s="13">
        <v>4812.5</v>
      </c>
      <c r="L84" s="5">
        <f t="shared" si="2"/>
        <v>5250</v>
      </c>
      <c r="N84" s="13">
        <v>5250</v>
      </c>
      <c r="Q84" s="38"/>
    </row>
    <row r="85" spans="1:18" ht="15" thickBot="1" x14ac:dyDescent="0.4">
      <c r="A85" s="1"/>
      <c r="B85" s="1"/>
      <c r="C85" s="1"/>
      <c r="D85" s="1"/>
      <c r="E85" s="1" t="s">
        <v>174</v>
      </c>
      <c r="F85" s="1"/>
      <c r="G85" s="1"/>
      <c r="H85" s="16">
        <v>3776.3</v>
      </c>
      <c r="I85" s="14"/>
      <c r="J85" s="16">
        <v>195.65</v>
      </c>
      <c r="L85" s="16">
        <f>+N85/12*$L$1</f>
        <v>8000</v>
      </c>
      <c r="N85" s="16">
        <v>8000</v>
      </c>
      <c r="O85" s="17">
        <f>(+H85-J85)/J85</f>
        <v>18.301303347814976</v>
      </c>
      <c r="P85" s="17">
        <f>(+H85-N85)/N85</f>
        <v>-0.5279625</v>
      </c>
    </row>
    <row r="86" spans="1:18" ht="30" customHeight="1" x14ac:dyDescent="0.35">
      <c r="A86" s="1"/>
      <c r="B86" s="1"/>
      <c r="C86" s="1"/>
      <c r="D86" s="1" t="s">
        <v>66</v>
      </c>
      <c r="E86" s="1"/>
      <c r="F86" s="1"/>
      <c r="G86" s="1"/>
      <c r="H86" s="26">
        <f>ROUND(H72+SUM(H75:H76)+H82+H83+H84+H85,5)</f>
        <v>134180.20000000001</v>
      </c>
      <c r="I86" s="14"/>
      <c r="J86" s="26">
        <f>ROUND(J72+SUM(J75:J76)+J82+J83+J84+J85,5)</f>
        <v>121736.81</v>
      </c>
      <c r="L86" s="26">
        <f>ROUND(L72+SUM(L75:L76)+L82+L83+L84+L85,5)</f>
        <v>138227</v>
      </c>
      <c r="N86" s="26">
        <f>ROUND(N72+SUM(N75:N76)+N82+N83+N84+N85,5)</f>
        <v>138227</v>
      </c>
      <c r="O86" s="17">
        <f>(+H86-J86)/J86</f>
        <v>0.10221550901489873</v>
      </c>
      <c r="P86" s="17">
        <f>(+H86-N86)/N86</f>
        <v>-2.9276479993054817E-2</v>
      </c>
      <c r="Q86" s="39"/>
    </row>
    <row r="87" spans="1:18" ht="30" customHeight="1" x14ac:dyDescent="0.35">
      <c r="A87" s="1"/>
      <c r="B87" s="1"/>
      <c r="C87" s="1"/>
      <c r="D87" s="1" t="s">
        <v>67</v>
      </c>
      <c r="E87" s="1"/>
      <c r="F87" s="1"/>
      <c r="G87" s="1"/>
      <c r="H87" s="13"/>
      <c r="I87" s="14"/>
      <c r="J87" s="13"/>
      <c r="N87" s="41"/>
      <c r="Q87" s="42"/>
    </row>
    <row r="88" spans="1:18" x14ac:dyDescent="0.35">
      <c r="A88" s="1"/>
      <c r="B88" s="1"/>
      <c r="C88" s="1"/>
      <c r="D88" s="1"/>
      <c r="E88" s="1" t="s">
        <v>68</v>
      </c>
      <c r="F88" s="1"/>
      <c r="G88" s="1"/>
      <c r="H88" s="13"/>
      <c r="I88" s="14"/>
      <c r="J88" s="13"/>
    </row>
    <row r="89" spans="1:18" ht="15" thickBot="1" x14ac:dyDescent="0.4">
      <c r="A89" s="1"/>
      <c r="B89" s="1"/>
      <c r="C89" s="1"/>
      <c r="D89" s="1"/>
      <c r="E89" s="1"/>
      <c r="F89" s="1" t="s">
        <v>69</v>
      </c>
      <c r="G89" s="1"/>
      <c r="H89" s="16">
        <v>27020.85</v>
      </c>
      <c r="I89" s="14"/>
      <c r="J89" s="16">
        <v>17002.169999999998</v>
      </c>
      <c r="L89" s="23">
        <f>+N89/12*$L$1</f>
        <v>25948</v>
      </c>
      <c r="N89" s="16">
        <v>25948</v>
      </c>
    </row>
    <row r="90" spans="1:18" ht="15" hidden="1" thickBot="1" x14ac:dyDescent="0.4">
      <c r="A90" s="1"/>
      <c r="B90" s="1"/>
      <c r="C90" s="1"/>
      <c r="D90" s="1"/>
      <c r="E90" s="1"/>
      <c r="F90" s="1"/>
      <c r="G90" s="1" t="s">
        <v>70</v>
      </c>
      <c r="H90" s="16"/>
      <c r="I90" s="14"/>
      <c r="J90" s="16"/>
      <c r="L90" s="23"/>
      <c r="N90" s="16"/>
    </row>
    <row r="91" spans="1:18" hidden="1" x14ac:dyDescent="0.35">
      <c r="A91" s="1"/>
      <c r="B91" s="1"/>
      <c r="C91" s="1"/>
      <c r="D91" s="1"/>
      <c r="E91" s="1"/>
      <c r="F91" s="1" t="s">
        <v>71</v>
      </c>
      <c r="G91" s="1"/>
      <c r="H91" s="13">
        <f>ROUND(SUM(H89:H90),5)</f>
        <v>27020.85</v>
      </c>
      <c r="I91" s="14"/>
      <c r="J91" s="13">
        <f>ROUND(SUM(J89:J90),5)</f>
        <v>17002.169999999998</v>
      </c>
      <c r="L91" s="18">
        <f>ROUND(SUM(L89:L90),5)</f>
        <v>25948</v>
      </c>
      <c r="N91" s="13">
        <f>ROUND(SUM(N89:N90),5)</f>
        <v>25948</v>
      </c>
    </row>
    <row r="92" spans="1:18" ht="18" customHeight="1" x14ac:dyDescent="0.35">
      <c r="A92" s="1"/>
      <c r="B92" s="1"/>
      <c r="C92" s="1"/>
      <c r="D92" s="1"/>
      <c r="E92" s="1"/>
      <c r="F92" s="1" t="s">
        <v>72</v>
      </c>
      <c r="G92" s="1"/>
      <c r="H92" s="13"/>
      <c r="I92" s="14"/>
      <c r="J92" s="13"/>
    </row>
    <row r="93" spans="1:18" x14ac:dyDescent="0.35">
      <c r="A93" s="1"/>
      <c r="B93" s="1"/>
      <c r="C93" s="1"/>
      <c r="D93" s="1"/>
      <c r="E93" s="1"/>
      <c r="F93" s="1"/>
      <c r="G93" s="1" t="s">
        <v>171</v>
      </c>
      <c r="H93" s="19">
        <v>0</v>
      </c>
      <c r="I93" s="14"/>
      <c r="J93" s="13">
        <v>0</v>
      </c>
      <c r="L93" s="5">
        <f>+N93/12*$L$1</f>
        <v>0</v>
      </c>
    </row>
    <row r="94" spans="1:18" x14ac:dyDescent="0.35">
      <c r="A94" s="1"/>
      <c r="B94" s="1"/>
      <c r="C94" s="1"/>
      <c r="D94" s="1"/>
      <c r="E94" s="1"/>
      <c r="F94" s="1"/>
      <c r="G94" s="1" t="s">
        <v>73</v>
      </c>
      <c r="H94" s="19">
        <v>2067.11</v>
      </c>
      <c r="I94" s="14"/>
      <c r="J94" s="13">
        <v>1300.7</v>
      </c>
      <c r="L94" s="5">
        <f>+N94/12*$L$1</f>
        <v>1985</v>
      </c>
      <c r="N94" s="5">
        <v>1985</v>
      </c>
    </row>
    <row r="95" spans="1:18" x14ac:dyDescent="0.35">
      <c r="A95" s="1"/>
      <c r="B95" s="1"/>
      <c r="C95" s="1"/>
      <c r="D95" s="1"/>
      <c r="E95" s="1"/>
      <c r="F95" s="1"/>
      <c r="G95" s="1" t="s">
        <v>74</v>
      </c>
      <c r="H95" s="13">
        <v>304.39999999999998</v>
      </c>
      <c r="I95" s="14"/>
      <c r="J95" s="13">
        <v>400.84</v>
      </c>
      <c r="L95" s="18">
        <f>+N95/12*$L$1</f>
        <v>216</v>
      </c>
      <c r="N95" s="13">
        <v>216</v>
      </c>
    </row>
    <row r="96" spans="1:18" ht="15" thickBot="1" x14ac:dyDescent="0.4">
      <c r="A96" s="1"/>
      <c r="B96" s="1"/>
      <c r="C96" s="1"/>
      <c r="D96" s="1"/>
      <c r="E96" s="1"/>
      <c r="F96" s="1"/>
      <c r="G96" s="1" t="s">
        <v>169</v>
      </c>
      <c r="H96" s="16">
        <v>555.24</v>
      </c>
      <c r="I96" s="14"/>
      <c r="J96" s="16">
        <v>85.78</v>
      </c>
      <c r="L96" s="23">
        <f>+N96/12*$L$1</f>
        <v>601</v>
      </c>
      <c r="N96" s="16">
        <v>601</v>
      </c>
    </row>
    <row r="97" spans="1:16" x14ac:dyDescent="0.35">
      <c r="A97" s="1"/>
      <c r="B97" s="1"/>
      <c r="C97" s="1"/>
      <c r="D97" s="1"/>
      <c r="E97" s="1"/>
      <c r="F97" s="1" t="s">
        <v>75</v>
      </c>
      <c r="G97" s="1"/>
      <c r="H97" s="13">
        <f>ROUND(SUM(H92:H96),5)</f>
        <v>2926.75</v>
      </c>
      <c r="I97" s="14"/>
      <c r="J97" s="13">
        <f>ROUND(SUM(J92:J96),5)</f>
        <v>1787.32</v>
      </c>
      <c r="L97" s="18">
        <f>ROUND(SUM(L92:L96),5)</f>
        <v>2802</v>
      </c>
      <c r="N97" s="13">
        <f>ROUND(SUM(N92:N96),5)</f>
        <v>2802</v>
      </c>
    </row>
    <row r="98" spans="1:16" ht="24" customHeight="1" thickBot="1" x14ac:dyDescent="0.4">
      <c r="A98" s="1"/>
      <c r="B98" s="1"/>
      <c r="C98" s="1"/>
      <c r="D98" s="1"/>
      <c r="E98" s="1"/>
      <c r="F98" s="1" t="s">
        <v>180</v>
      </c>
      <c r="G98" s="1"/>
      <c r="H98" s="13">
        <v>1500</v>
      </c>
      <c r="I98" s="14"/>
      <c r="J98" s="13">
        <v>134.31</v>
      </c>
      <c r="L98" s="18">
        <f>+N98/12*$L$1</f>
        <v>1500</v>
      </c>
      <c r="N98" s="13">
        <v>1500</v>
      </c>
    </row>
    <row r="99" spans="1:16" ht="14.25" hidden="1" customHeight="1" thickBot="1" x14ac:dyDescent="0.4">
      <c r="A99" s="1"/>
      <c r="B99" s="1"/>
      <c r="C99" s="1"/>
      <c r="D99" s="1"/>
      <c r="E99" s="1"/>
      <c r="F99" s="1" t="s">
        <v>178</v>
      </c>
      <c r="G99" s="1"/>
      <c r="H99" s="16">
        <v>0</v>
      </c>
      <c r="I99" s="14"/>
      <c r="J99" s="16">
        <v>0</v>
      </c>
      <c r="L99" s="23">
        <f>+N99/12*$L$1</f>
        <v>0</v>
      </c>
      <c r="N99" s="16">
        <v>0</v>
      </c>
    </row>
    <row r="100" spans="1:16" x14ac:dyDescent="0.35">
      <c r="A100" s="1"/>
      <c r="B100" s="1"/>
      <c r="C100" s="1"/>
      <c r="D100" s="1"/>
      <c r="E100" s="1" t="s">
        <v>76</v>
      </c>
      <c r="F100" s="1"/>
      <c r="G100" s="1"/>
      <c r="H100" s="26">
        <f>ROUND(H88+H91+SUM(H97:H99),5)</f>
        <v>31447.599999999999</v>
      </c>
      <c r="I100" s="14"/>
      <c r="J100" s="26">
        <f>ROUND(J88+J91+SUM(J97:J99),5)</f>
        <v>18923.8</v>
      </c>
      <c r="L100" s="29">
        <f>ROUND(L88+L91+SUM(L97:L99),5)</f>
        <v>30250</v>
      </c>
      <c r="N100" s="26">
        <f>ROUND(N88+N91+SUM(N97:N99),5)</f>
        <v>30250</v>
      </c>
      <c r="O100" s="17">
        <f>(+H100-J100)/J100</f>
        <v>0.66180154091672916</v>
      </c>
      <c r="P100" s="17">
        <f>(+H100-N100)/N100</f>
        <v>3.9590082644628051E-2</v>
      </c>
    </row>
    <row r="101" spans="1:16" ht="30" customHeight="1" x14ac:dyDescent="0.35">
      <c r="A101" s="1"/>
      <c r="B101" s="1"/>
      <c r="C101" s="1"/>
      <c r="D101" s="1"/>
      <c r="E101" s="1" t="s">
        <v>77</v>
      </c>
      <c r="F101" s="1"/>
      <c r="G101" s="1"/>
      <c r="H101" s="13"/>
      <c r="I101" s="14"/>
      <c r="J101" s="13"/>
      <c r="L101" s="18"/>
      <c r="N101" s="13"/>
    </row>
    <row r="102" spans="1:16" ht="15" customHeight="1" x14ac:dyDescent="0.35">
      <c r="A102" s="1"/>
      <c r="B102" s="1"/>
      <c r="C102" s="1"/>
      <c r="D102" s="1"/>
      <c r="E102" s="1"/>
      <c r="F102" s="1" t="s">
        <v>144</v>
      </c>
      <c r="G102" s="1"/>
      <c r="H102" s="13">
        <v>1000.12</v>
      </c>
      <c r="I102" s="14"/>
      <c r="J102" s="13">
        <v>357.39</v>
      </c>
      <c r="L102" s="18">
        <f t="shared" ref="L102:L108" si="3">+N102/12*$L$1</f>
        <v>950</v>
      </c>
      <c r="N102" s="13">
        <f>650+300</f>
        <v>950</v>
      </c>
    </row>
    <row r="103" spans="1:16" ht="15" customHeight="1" x14ac:dyDescent="0.35">
      <c r="A103" s="1"/>
      <c r="B103" s="1"/>
      <c r="C103" s="1"/>
      <c r="D103" s="1"/>
      <c r="E103" s="1"/>
      <c r="F103" s="1" t="s">
        <v>145</v>
      </c>
      <c r="G103" s="1"/>
      <c r="H103" s="13">
        <v>0</v>
      </c>
      <c r="I103" s="14"/>
      <c r="J103" s="13">
        <v>0</v>
      </c>
      <c r="L103" s="18">
        <f t="shared" si="3"/>
        <v>100</v>
      </c>
      <c r="N103" s="13">
        <v>100</v>
      </c>
    </row>
    <row r="104" spans="1:16" x14ac:dyDescent="0.35">
      <c r="A104" s="1"/>
      <c r="B104" s="1"/>
      <c r="C104" s="1"/>
      <c r="D104" s="1"/>
      <c r="E104" s="1"/>
      <c r="F104" s="1" t="s">
        <v>78</v>
      </c>
      <c r="G104" s="1"/>
      <c r="H104" s="13">
        <v>1433.54</v>
      </c>
      <c r="I104" s="14"/>
      <c r="J104" s="13">
        <v>2099.5</v>
      </c>
      <c r="L104" s="18">
        <f t="shared" si="3"/>
        <v>1800</v>
      </c>
      <c r="N104" s="13">
        <f>1500+300</f>
        <v>1800</v>
      </c>
    </row>
    <row r="105" spans="1:16" x14ac:dyDescent="0.35">
      <c r="A105" s="1"/>
      <c r="B105" s="1"/>
      <c r="C105" s="1"/>
      <c r="D105" s="1"/>
      <c r="E105" s="1"/>
      <c r="F105" s="1" t="s">
        <v>79</v>
      </c>
      <c r="G105" s="1"/>
      <c r="H105" s="13">
        <v>1665.52</v>
      </c>
      <c r="I105" s="14"/>
      <c r="J105" s="13">
        <v>1283.6099999999999</v>
      </c>
      <c r="L105" s="18">
        <f t="shared" si="3"/>
        <v>2500</v>
      </c>
      <c r="N105" s="13">
        <v>2500</v>
      </c>
    </row>
    <row r="106" spans="1:16" x14ac:dyDescent="0.35">
      <c r="A106" s="1"/>
      <c r="B106" s="1"/>
      <c r="C106" s="1"/>
      <c r="D106" s="1"/>
      <c r="E106" s="1"/>
      <c r="F106" s="1" t="s">
        <v>80</v>
      </c>
      <c r="G106" s="1"/>
      <c r="H106" s="13">
        <v>1475</v>
      </c>
      <c r="I106" s="14"/>
      <c r="J106" s="13">
        <v>1800</v>
      </c>
      <c r="L106" s="18">
        <f t="shared" si="3"/>
        <v>1800</v>
      </c>
      <c r="N106" s="13">
        <v>1800</v>
      </c>
    </row>
    <row r="107" spans="1:16" ht="15" thickBot="1" x14ac:dyDescent="0.4">
      <c r="A107" s="1"/>
      <c r="B107" s="1"/>
      <c r="C107" s="1"/>
      <c r="D107" s="1"/>
      <c r="E107" s="1"/>
      <c r="F107" s="1" t="s">
        <v>146</v>
      </c>
      <c r="G107" s="1"/>
      <c r="H107" s="13">
        <v>2600</v>
      </c>
      <c r="I107" s="14"/>
      <c r="J107" s="13">
        <v>209</v>
      </c>
      <c r="L107" s="18">
        <f t="shared" si="3"/>
        <v>2600</v>
      </c>
      <c r="N107" s="13">
        <v>2600</v>
      </c>
    </row>
    <row r="108" spans="1:16" ht="15" hidden="1" thickBot="1" x14ac:dyDescent="0.4">
      <c r="A108" s="1"/>
      <c r="B108" s="1"/>
      <c r="C108" s="1"/>
      <c r="D108" s="1"/>
      <c r="E108" s="1"/>
      <c r="F108" s="1" t="s">
        <v>81</v>
      </c>
      <c r="G108" s="1"/>
      <c r="H108" s="13">
        <v>0</v>
      </c>
      <c r="I108" s="14"/>
      <c r="J108" s="13">
        <v>0</v>
      </c>
      <c r="L108" s="22">
        <f t="shared" si="3"/>
        <v>0</v>
      </c>
      <c r="N108" s="13">
        <v>0</v>
      </c>
    </row>
    <row r="109" spans="1:16" ht="15" thickBot="1" x14ac:dyDescent="0.4">
      <c r="A109" s="1"/>
      <c r="B109" s="1"/>
      <c r="C109" s="1"/>
      <c r="D109" s="1"/>
      <c r="E109" s="1" t="s">
        <v>82</v>
      </c>
      <c r="F109" s="1"/>
      <c r="G109" s="1"/>
      <c r="H109" s="20">
        <f>ROUND(SUM(H101:H108),5)</f>
        <v>8174.18</v>
      </c>
      <c r="I109" s="14"/>
      <c r="J109" s="20">
        <f>ROUND(SUM(J101:J108),5)</f>
        <v>5749.5</v>
      </c>
      <c r="L109" s="20">
        <f>ROUND(SUM(L101:L108),5)</f>
        <v>9750</v>
      </c>
      <c r="N109" s="20">
        <f>ROUND(SUM(N101:N108),5)</f>
        <v>9750</v>
      </c>
      <c r="O109" s="17">
        <f>(+H109-J109)/J109</f>
        <v>0.42172014957822423</v>
      </c>
      <c r="P109" s="17">
        <f>(+H109-N109)/N109</f>
        <v>-0.16162256410256406</v>
      </c>
    </row>
    <row r="110" spans="1:16" ht="30" customHeight="1" x14ac:dyDescent="0.35">
      <c r="A110" s="1"/>
      <c r="B110" s="1"/>
      <c r="C110" s="1"/>
      <c r="D110" s="1"/>
      <c r="E110" s="1" t="s">
        <v>140</v>
      </c>
      <c r="F110" s="1"/>
      <c r="G110" s="1"/>
      <c r="H110" s="13"/>
      <c r="I110" s="14"/>
      <c r="J110" s="13"/>
      <c r="L110" s="13"/>
      <c r="N110" s="13"/>
    </row>
    <row r="111" spans="1:16" x14ac:dyDescent="0.35">
      <c r="A111" s="1"/>
      <c r="B111" s="1"/>
      <c r="C111" s="1"/>
      <c r="D111" s="1"/>
      <c r="E111" s="1"/>
      <c r="F111" s="1" t="s">
        <v>141</v>
      </c>
      <c r="G111" s="1"/>
      <c r="H111" s="13">
        <v>245.13</v>
      </c>
      <c r="I111" s="14"/>
      <c r="J111" s="13">
        <v>0</v>
      </c>
      <c r="L111" s="18">
        <f>+N111/12*$L$1</f>
        <v>225</v>
      </c>
      <c r="N111" s="13">
        <v>225</v>
      </c>
    </row>
    <row r="112" spans="1:16" ht="15" thickBot="1" x14ac:dyDescent="0.4">
      <c r="A112" s="1"/>
      <c r="B112" s="1"/>
      <c r="C112" s="1"/>
      <c r="D112" s="1"/>
      <c r="E112" s="1"/>
      <c r="F112" s="1" t="s">
        <v>142</v>
      </c>
      <c r="G112" s="1"/>
      <c r="H112" s="13">
        <v>0</v>
      </c>
      <c r="I112" s="14"/>
      <c r="J112" s="13">
        <v>0</v>
      </c>
      <c r="L112" s="18">
        <f>+N112/12*$L$1</f>
        <v>0</v>
      </c>
      <c r="N112" s="13">
        <v>0</v>
      </c>
    </row>
    <row r="113" spans="1:17" ht="15" thickBot="1" x14ac:dyDescent="0.4">
      <c r="A113" s="1"/>
      <c r="B113" s="1"/>
      <c r="C113" s="1"/>
      <c r="D113" s="1"/>
      <c r="E113" s="1" t="s">
        <v>143</v>
      </c>
      <c r="F113" s="1"/>
      <c r="G113" s="1"/>
      <c r="H113" s="20">
        <f>+H111+H112</f>
        <v>245.13</v>
      </c>
      <c r="I113" s="14"/>
      <c r="J113" s="20">
        <f>+J111+J112</f>
        <v>0</v>
      </c>
      <c r="L113" s="20">
        <f>+L111+L112</f>
        <v>225</v>
      </c>
      <c r="N113" s="20">
        <f>+N111+N112</f>
        <v>225</v>
      </c>
    </row>
    <row r="114" spans="1:17" ht="30" customHeight="1" x14ac:dyDescent="0.35">
      <c r="A114" s="1"/>
      <c r="B114" s="1"/>
      <c r="C114" s="1"/>
      <c r="D114" s="1" t="s">
        <v>83</v>
      </c>
      <c r="E114" s="1"/>
      <c r="F114" s="1"/>
      <c r="G114" s="1"/>
      <c r="H114" s="13">
        <f>ROUND(H87+H100+H109+H113,5)</f>
        <v>39866.910000000003</v>
      </c>
      <c r="I114" s="14"/>
      <c r="J114" s="13">
        <f>ROUND(J87+J100+J109+J113,5)</f>
        <v>24673.3</v>
      </c>
      <c r="L114" s="13">
        <f>ROUND(L87+L100+L109+L113,5)</f>
        <v>40225</v>
      </c>
      <c r="N114" s="13">
        <f>ROUND(+N100+N109+N113,5)</f>
        <v>40225</v>
      </c>
      <c r="O114" s="17">
        <f>(+H114-J114)/J114</f>
        <v>0.61579156416044889</v>
      </c>
      <c r="P114" s="17">
        <f>(+H114-N114)/N114</f>
        <v>-8.9021752641391307E-3</v>
      </c>
    </row>
    <row r="115" spans="1:17" ht="30" hidden="1" customHeight="1" x14ac:dyDescent="0.35">
      <c r="A115" s="1"/>
      <c r="B115" s="1"/>
      <c r="C115" s="1"/>
      <c r="D115" s="1" t="s">
        <v>84</v>
      </c>
      <c r="E115" s="1"/>
      <c r="F115" s="1"/>
      <c r="G115" s="1"/>
      <c r="H115" s="13">
        <v>0</v>
      </c>
      <c r="I115" s="14"/>
      <c r="J115" s="13">
        <v>0</v>
      </c>
    </row>
    <row r="116" spans="1:17" x14ac:dyDescent="0.35">
      <c r="A116" s="1"/>
      <c r="B116" s="1"/>
      <c r="C116" s="1"/>
      <c r="D116" s="1" t="s">
        <v>85</v>
      </c>
      <c r="E116" s="1"/>
      <c r="F116" s="1"/>
      <c r="G116" s="1"/>
      <c r="H116" s="13"/>
      <c r="I116" s="14"/>
      <c r="J116" s="13"/>
    </row>
    <row r="117" spans="1:17" x14ac:dyDescent="0.35">
      <c r="A117" s="1"/>
      <c r="B117" s="1"/>
      <c r="C117" s="1"/>
      <c r="D117" s="1"/>
      <c r="E117" s="1" t="s">
        <v>176</v>
      </c>
      <c r="F117" s="1"/>
      <c r="G117" s="1"/>
      <c r="H117" s="13"/>
      <c r="I117" s="14"/>
      <c r="J117" s="13"/>
    </row>
    <row r="118" spans="1:17" ht="15" thickBot="1" x14ac:dyDescent="0.4">
      <c r="A118" s="1"/>
      <c r="B118" s="1"/>
      <c r="C118" s="1"/>
      <c r="D118" s="1"/>
      <c r="E118" s="1"/>
      <c r="F118" s="1" t="s">
        <v>86</v>
      </c>
      <c r="G118" s="1"/>
      <c r="H118" s="16">
        <v>39312.639999999999</v>
      </c>
      <c r="I118" s="14"/>
      <c r="J118" s="16">
        <v>37023.949999999997</v>
      </c>
      <c r="L118" s="23">
        <f>+N118/12*$L$1</f>
        <v>38975</v>
      </c>
      <c r="N118" s="16">
        <v>38975</v>
      </c>
      <c r="Q118" s="44"/>
    </row>
    <row r="119" spans="1:17" ht="15" hidden="1" thickBot="1" x14ac:dyDescent="0.4">
      <c r="A119" s="1"/>
      <c r="B119" s="1"/>
      <c r="C119" s="1"/>
      <c r="D119" s="1"/>
      <c r="E119" s="1"/>
      <c r="F119" s="1"/>
      <c r="G119" s="1" t="s">
        <v>87</v>
      </c>
      <c r="H119" s="16"/>
      <c r="I119" s="14"/>
      <c r="J119" s="16"/>
      <c r="L119" s="23"/>
      <c r="N119" s="16"/>
    </row>
    <row r="120" spans="1:17" hidden="1" x14ac:dyDescent="0.35">
      <c r="A120" s="1"/>
      <c r="B120" s="1"/>
      <c r="C120" s="1"/>
      <c r="D120" s="1"/>
      <c r="E120" s="1"/>
      <c r="F120" s="1" t="s">
        <v>88</v>
      </c>
      <c r="G120" s="1"/>
      <c r="H120" s="13">
        <f>ROUND(SUM(H118:H119),5)</f>
        <v>39312.639999999999</v>
      </c>
      <c r="I120" s="14"/>
      <c r="J120" s="13">
        <f>ROUND(SUM(J118:J119),5)</f>
        <v>37023.949999999997</v>
      </c>
      <c r="L120" s="18">
        <f>ROUND(SUM(L118:L119),5)</f>
        <v>38975</v>
      </c>
      <c r="N120" s="13">
        <f>ROUND(SUM(N118:N119),5)</f>
        <v>38975</v>
      </c>
    </row>
    <row r="121" spans="1:17" ht="30" customHeight="1" x14ac:dyDescent="0.35">
      <c r="A121" s="1"/>
      <c r="B121" s="1"/>
      <c r="C121" s="1"/>
      <c r="D121" s="1"/>
      <c r="E121" s="1"/>
      <c r="F121" s="1" t="s">
        <v>89</v>
      </c>
      <c r="G121" s="1"/>
      <c r="H121" s="19">
        <v>3088.71</v>
      </c>
      <c r="I121" s="14"/>
      <c r="J121" s="13">
        <v>3446.15</v>
      </c>
      <c r="L121" s="46">
        <f>+N121/12*$L$1</f>
        <v>3791</v>
      </c>
      <c r="N121" s="13">
        <f>2982+809</f>
        <v>3791</v>
      </c>
    </row>
    <row r="122" spans="1:17" ht="15" hidden="1" thickBot="1" x14ac:dyDescent="0.4">
      <c r="A122" s="1"/>
      <c r="B122" s="1"/>
      <c r="C122" s="1"/>
      <c r="D122" s="1"/>
      <c r="E122" s="1"/>
      <c r="F122" s="1"/>
      <c r="G122" s="1" t="s">
        <v>90</v>
      </c>
      <c r="H122" s="30"/>
      <c r="I122" s="14"/>
      <c r="J122" s="16"/>
      <c r="L122" s="23"/>
      <c r="N122" s="16"/>
      <c r="Q122" s="43"/>
    </row>
    <row r="123" spans="1:17" hidden="1" x14ac:dyDescent="0.35">
      <c r="A123" s="1"/>
      <c r="B123" s="1"/>
      <c r="C123" s="1"/>
      <c r="D123" s="1"/>
      <c r="E123" s="1"/>
      <c r="F123" s="1" t="s">
        <v>91</v>
      </c>
      <c r="G123" s="1"/>
      <c r="H123" s="13">
        <f>ROUND(SUM(H121:H122),5)</f>
        <v>3088.71</v>
      </c>
      <c r="I123" s="14"/>
      <c r="J123" s="13">
        <f>ROUND(SUM(J121:J122),5)</f>
        <v>3446.15</v>
      </c>
      <c r="L123" s="18">
        <f>ROUND(SUM(L121:L122),5)</f>
        <v>3791</v>
      </c>
      <c r="N123" s="13">
        <f>ROUND(SUM(N121:N122),5)</f>
        <v>3791</v>
      </c>
    </row>
    <row r="124" spans="1:17" ht="14" customHeight="1" x14ac:dyDescent="0.35">
      <c r="A124" s="1"/>
      <c r="B124" s="1"/>
      <c r="C124" s="1"/>
      <c r="D124" s="1"/>
      <c r="E124" s="1"/>
      <c r="F124" s="1" t="s">
        <v>177</v>
      </c>
      <c r="G124" s="1"/>
      <c r="H124" s="13">
        <v>0</v>
      </c>
      <c r="I124" s="14"/>
      <c r="J124" s="13">
        <v>3698.42</v>
      </c>
      <c r="L124" s="18">
        <f>+N124/12*$L$1</f>
        <v>3898</v>
      </c>
      <c r="N124" s="13">
        <v>3898</v>
      </c>
      <c r="Q124" s="43"/>
    </row>
    <row r="125" spans="1:17" ht="15" customHeight="1" thickBot="1" x14ac:dyDescent="0.4">
      <c r="A125" s="1"/>
      <c r="B125" s="1"/>
      <c r="C125" s="1"/>
      <c r="D125" s="1"/>
      <c r="E125" s="1"/>
      <c r="F125" s="1" t="s">
        <v>173</v>
      </c>
      <c r="G125" s="1"/>
      <c r="H125" s="16">
        <v>0</v>
      </c>
      <c r="I125" s="14"/>
      <c r="J125" s="16">
        <v>0</v>
      </c>
      <c r="L125" s="23">
        <f>+N125/12*$L$1</f>
        <v>0</v>
      </c>
      <c r="N125" s="16">
        <v>0</v>
      </c>
    </row>
    <row r="126" spans="1:17" x14ac:dyDescent="0.35">
      <c r="A126" s="1"/>
      <c r="B126" s="1"/>
      <c r="C126" s="1"/>
      <c r="D126" s="1"/>
      <c r="E126" s="1" t="s">
        <v>183</v>
      </c>
      <c r="F126" s="1"/>
      <c r="G126" s="1"/>
      <c r="H126" s="13">
        <f>ROUND(H117+H120+SUM(H123:H125),5)</f>
        <v>42401.35</v>
      </c>
      <c r="I126" s="14"/>
      <c r="J126" s="13">
        <f>ROUND(J117+J120+SUM(J123:J125),5)</f>
        <v>44168.52</v>
      </c>
      <c r="L126" s="18">
        <f>ROUND(L117+L120+SUM(L123:L125),5)</f>
        <v>46664</v>
      </c>
      <c r="N126" s="13">
        <f>ROUND(N117+N120+SUM(N123:N125),5)</f>
        <v>46664</v>
      </c>
      <c r="O126" s="17">
        <f>(+H126-J126)/J126</f>
        <v>-4.0009717328087932E-2</v>
      </c>
      <c r="P126" s="17">
        <f>(+H126-N126)/N126</f>
        <v>-9.134771986970687E-2</v>
      </c>
      <c r="Q126" s="43"/>
    </row>
    <row r="127" spans="1:17" x14ac:dyDescent="0.35">
      <c r="A127" s="1"/>
      <c r="B127" s="1"/>
      <c r="C127" s="1"/>
      <c r="D127" s="1"/>
      <c r="E127" s="1" t="s">
        <v>164</v>
      </c>
      <c r="F127" s="1"/>
      <c r="G127" s="1"/>
      <c r="H127" s="13"/>
      <c r="I127" s="14"/>
      <c r="J127" s="13"/>
      <c r="L127" s="18"/>
      <c r="N127" s="13"/>
      <c r="O127" s="17"/>
      <c r="P127" s="17"/>
    </row>
    <row r="128" spans="1:17" x14ac:dyDescent="0.35">
      <c r="A128" s="1"/>
      <c r="B128" s="1"/>
      <c r="C128" s="1"/>
      <c r="D128" s="1"/>
      <c r="E128" s="1"/>
      <c r="F128" s="1" t="s">
        <v>165</v>
      </c>
      <c r="G128" s="1"/>
      <c r="H128" s="13">
        <v>14220</v>
      </c>
      <c r="I128" s="14"/>
      <c r="J128" s="13">
        <v>12420</v>
      </c>
      <c r="L128" s="18">
        <f>+N128/12*$L$1</f>
        <v>14220</v>
      </c>
      <c r="N128" s="13">
        <v>14220</v>
      </c>
      <c r="O128" s="17"/>
      <c r="P128" s="17"/>
    </row>
    <row r="129" spans="1:17" ht="15" thickBot="1" x14ac:dyDescent="0.4">
      <c r="A129" s="1"/>
      <c r="B129" s="1"/>
      <c r="C129" s="1"/>
      <c r="D129" s="1"/>
      <c r="E129" s="1"/>
      <c r="F129" s="1" t="s">
        <v>166</v>
      </c>
      <c r="G129" s="1"/>
      <c r="H129" s="16">
        <v>1087.8</v>
      </c>
      <c r="I129" s="14"/>
      <c r="J129" s="16">
        <v>950.16</v>
      </c>
      <c r="L129" s="23">
        <f>+N129/12*$L$1</f>
        <v>1088</v>
      </c>
      <c r="N129" s="16">
        <v>1088</v>
      </c>
      <c r="O129" s="17"/>
      <c r="P129" s="17"/>
    </row>
    <row r="130" spans="1:17" x14ac:dyDescent="0.35">
      <c r="A130" s="1"/>
      <c r="B130" s="1"/>
      <c r="C130" s="1"/>
      <c r="D130" s="1"/>
      <c r="E130" s="1" t="s">
        <v>167</v>
      </c>
      <c r="F130" s="1"/>
      <c r="G130" s="1"/>
      <c r="H130" s="13">
        <f>ROUND(SUM(H128:H129),5)</f>
        <v>15307.8</v>
      </c>
      <c r="I130" s="14"/>
      <c r="J130" s="13">
        <f>ROUND(SUM(J128:J129),5)</f>
        <v>13370.16</v>
      </c>
      <c r="L130" s="18">
        <f>ROUND(SUM(L128:L129),5)</f>
        <v>15308</v>
      </c>
      <c r="N130" s="13">
        <f>ROUND(SUM(N128:N129),5)</f>
        <v>15308</v>
      </c>
      <c r="O130" s="17"/>
      <c r="P130" s="17"/>
    </row>
    <row r="131" spans="1:17" ht="30" customHeight="1" x14ac:dyDescent="0.35">
      <c r="A131" s="1"/>
      <c r="B131" s="1"/>
      <c r="C131" s="1"/>
      <c r="D131" s="1"/>
      <c r="E131" s="1" t="s">
        <v>92</v>
      </c>
      <c r="F131" s="1"/>
      <c r="G131" s="1"/>
      <c r="H131" s="13">
        <v>2843.62</v>
      </c>
      <c r="I131" s="14"/>
      <c r="J131" s="13">
        <v>3716.75</v>
      </c>
      <c r="L131" s="5">
        <f>+N131/12*$L$1</f>
        <v>3800</v>
      </c>
      <c r="N131" s="5">
        <v>3800</v>
      </c>
    </row>
    <row r="132" spans="1:17" x14ac:dyDescent="0.35">
      <c r="A132" s="1"/>
      <c r="B132" s="1"/>
      <c r="C132" s="1"/>
      <c r="D132" s="1"/>
      <c r="E132" s="1" t="s">
        <v>93</v>
      </c>
      <c r="F132" s="1"/>
      <c r="G132" s="1"/>
      <c r="H132" s="13">
        <v>306.60000000000002</v>
      </c>
      <c r="I132" s="14"/>
      <c r="J132" s="13">
        <v>132</v>
      </c>
      <c r="L132" s="13">
        <f t="shared" ref="L132" si="4">+N132/12*$L$1</f>
        <v>275</v>
      </c>
      <c r="N132" s="13">
        <v>275</v>
      </c>
    </row>
    <row r="133" spans="1:17" hidden="1" x14ac:dyDescent="0.35">
      <c r="A133" s="1"/>
      <c r="B133" s="1"/>
      <c r="C133" s="1"/>
      <c r="D133" s="1"/>
      <c r="E133" s="1"/>
      <c r="F133" s="1" t="s">
        <v>94</v>
      </c>
      <c r="G133" s="1"/>
      <c r="H133" s="13">
        <v>0</v>
      </c>
      <c r="I133" s="14"/>
      <c r="J133" s="13">
        <v>0</v>
      </c>
      <c r="L133" s="5">
        <f t="shared" ref="L133:L138" si="5">+N133/12*$L$1</f>
        <v>0</v>
      </c>
    </row>
    <row r="134" spans="1:17" ht="15" hidden="1" thickBot="1" x14ac:dyDescent="0.4">
      <c r="A134" s="1"/>
      <c r="B134" s="1"/>
      <c r="C134" s="1"/>
      <c r="D134" s="1"/>
      <c r="E134" s="1"/>
      <c r="F134" s="1" t="s">
        <v>95</v>
      </c>
      <c r="G134" s="1"/>
      <c r="H134" s="16"/>
      <c r="I134" s="14"/>
      <c r="J134" s="16"/>
      <c r="L134" s="16"/>
      <c r="N134" s="16"/>
      <c r="P134" s="13"/>
    </row>
    <row r="135" spans="1:17" hidden="1" x14ac:dyDescent="0.35">
      <c r="A135" s="1"/>
      <c r="B135" s="1"/>
      <c r="C135" s="1"/>
      <c r="D135" s="1"/>
      <c r="E135" s="1" t="s">
        <v>96</v>
      </c>
      <c r="F135" s="1"/>
      <c r="G135" s="1"/>
      <c r="H135" s="13">
        <f>ROUND(SUM(H132:H134),5)</f>
        <v>306.60000000000002</v>
      </c>
      <c r="I135" s="14"/>
      <c r="J135" s="13">
        <f>ROUND(SUM(J132:J134),5)</f>
        <v>132</v>
      </c>
      <c r="L135" s="13">
        <f t="shared" si="5"/>
        <v>275</v>
      </c>
      <c r="N135" s="13">
        <f>+N132</f>
        <v>275</v>
      </c>
    </row>
    <row r="136" spans="1:17" ht="17.5" customHeight="1" x14ac:dyDescent="0.35">
      <c r="A136" s="1"/>
      <c r="B136" s="1"/>
      <c r="C136" s="1"/>
      <c r="D136" s="1"/>
      <c r="E136" s="1" t="s">
        <v>97</v>
      </c>
      <c r="F136" s="1"/>
      <c r="G136" s="1"/>
      <c r="H136" s="13">
        <v>2081.4</v>
      </c>
      <c r="I136" s="14"/>
      <c r="J136" s="13">
        <v>902.01</v>
      </c>
      <c r="L136" s="5">
        <f t="shared" si="5"/>
        <v>1000</v>
      </c>
      <c r="N136" s="13">
        <v>1000</v>
      </c>
    </row>
    <row r="137" spans="1:17" ht="15" customHeight="1" x14ac:dyDescent="0.35">
      <c r="A137" s="1"/>
      <c r="B137" s="1"/>
      <c r="C137" s="1"/>
      <c r="D137" s="1"/>
      <c r="E137" s="1" t="s">
        <v>139</v>
      </c>
      <c r="F137" s="1"/>
      <c r="G137" s="1"/>
      <c r="H137" s="13">
        <v>769.81</v>
      </c>
      <c r="I137" s="14"/>
      <c r="J137" s="13">
        <v>0</v>
      </c>
      <c r="L137" s="5">
        <f t="shared" si="5"/>
        <v>500</v>
      </c>
      <c r="N137" s="13">
        <v>500</v>
      </c>
    </row>
    <row r="138" spans="1:17" x14ac:dyDescent="0.35">
      <c r="A138" s="1"/>
      <c r="B138" s="1"/>
      <c r="C138" s="1"/>
      <c r="D138" s="1"/>
      <c r="E138" s="1" t="s">
        <v>98</v>
      </c>
      <c r="F138" s="1"/>
      <c r="G138" s="1"/>
      <c r="H138" s="13">
        <v>133.88</v>
      </c>
      <c r="I138" s="14"/>
      <c r="J138" s="13">
        <v>1794.21</v>
      </c>
      <c r="L138" s="5">
        <f t="shared" si="5"/>
        <v>1500</v>
      </c>
      <c r="N138" s="13">
        <v>1500</v>
      </c>
      <c r="O138" s="17">
        <f>(+H138-J138)/J138</f>
        <v>-0.92538220163748941</v>
      </c>
      <c r="P138" s="17">
        <f>(+H138-N138)/N138</f>
        <v>-0.91074666666666659</v>
      </c>
    </row>
    <row r="139" spans="1:17" x14ac:dyDescent="0.35">
      <c r="A139" s="1"/>
      <c r="B139" s="1"/>
      <c r="C139" s="1"/>
      <c r="D139" s="1"/>
      <c r="E139" s="1" t="s">
        <v>99</v>
      </c>
      <c r="F139" s="1"/>
      <c r="G139" s="1"/>
      <c r="H139" s="13"/>
      <c r="I139" s="14"/>
      <c r="J139" s="13"/>
      <c r="L139" s="18"/>
      <c r="N139" s="13"/>
    </row>
    <row r="140" spans="1:17" ht="15" thickBot="1" x14ac:dyDescent="0.4">
      <c r="A140" s="1"/>
      <c r="B140" s="1"/>
      <c r="C140" s="1"/>
      <c r="D140" s="1"/>
      <c r="E140" s="1"/>
      <c r="F140" s="1" t="s">
        <v>100</v>
      </c>
      <c r="G140" s="1"/>
      <c r="H140" s="13">
        <v>1923.89</v>
      </c>
      <c r="I140" s="14"/>
      <c r="J140" s="13">
        <v>968.3</v>
      </c>
      <c r="N140" s="13"/>
    </row>
    <row r="141" spans="1:17" ht="15" hidden="1" thickBot="1" x14ac:dyDescent="0.4">
      <c r="A141" s="1"/>
      <c r="B141" s="1"/>
      <c r="C141" s="1"/>
      <c r="D141" s="1"/>
      <c r="E141" s="1"/>
      <c r="F141" s="1" t="s">
        <v>101</v>
      </c>
      <c r="G141" s="1"/>
      <c r="H141" s="13">
        <v>0</v>
      </c>
      <c r="I141" s="14"/>
      <c r="J141" s="13">
        <v>0</v>
      </c>
      <c r="L141" s="18"/>
      <c r="N141" s="13"/>
    </row>
    <row r="142" spans="1:17" ht="15" thickBot="1" x14ac:dyDescent="0.4">
      <c r="A142" s="1"/>
      <c r="B142" s="1"/>
      <c r="C142" s="1"/>
      <c r="D142" s="1"/>
      <c r="E142" s="1" t="s">
        <v>102</v>
      </c>
      <c r="F142" s="1"/>
      <c r="G142" s="1"/>
      <c r="H142" s="20">
        <f>ROUND(SUM(H139:H141),5)</f>
        <v>1923.89</v>
      </c>
      <c r="I142" s="14"/>
      <c r="J142" s="20">
        <f>ROUND(SUM(J139:J141),5)</f>
        <v>968.3</v>
      </c>
      <c r="L142" s="21">
        <f>+N142/12*$L$1</f>
        <v>1000</v>
      </c>
      <c r="N142" s="20">
        <v>1000</v>
      </c>
      <c r="O142" s="17">
        <f>(+H142-J142)/J142</f>
        <v>0.98687390271610054</v>
      </c>
      <c r="P142" s="17">
        <f>(+H142-N142)/N142</f>
        <v>0.9238900000000001</v>
      </c>
    </row>
    <row r="143" spans="1:17" ht="30" customHeight="1" x14ac:dyDescent="0.35">
      <c r="A143" s="1"/>
      <c r="B143" s="1"/>
      <c r="C143" s="1"/>
      <c r="D143" s="1" t="s">
        <v>103</v>
      </c>
      <c r="E143" s="1"/>
      <c r="F143" s="1"/>
      <c r="G143" s="1"/>
      <c r="H143" s="13">
        <f>ROUND((+H116+H126+H130+H131)+SUM(H135:H138)+H142,5)</f>
        <v>65768.350000000006</v>
      </c>
      <c r="I143" s="14"/>
      <c r="J143" s="13">
        <f>ROUND((+J116+J126+J130+J131)+SUM(J135:J138)+J142,5)</f>
        <v>65051.95</v>
      </c>
      <c r="L143" s="13">
        <f>ROUND((+L116+L126+L130+L131)+SUM(L135:L138)+L142,5)</f>
        <v>70047</v>
      </c>
      <c r="N143" s="13">
        <f>ROUND((+N116+N126+N130+N131)+SUM(N135:N138)+N142,5)</f>
        <v>70047</v>
      </c>
      <c r="O143" s="17">
        <f>(+H143-J143)/J143</f>
        <v>1.1012736743479769E-2</v>
      </c>
      <c r="P143" s="17">
        <f>(+H143-N143)/N143</f>
        <v>-6.1082558853341247E-2</v>
      </c>
      <c r="Q143" s="17"/>
    </row>
    <row r="144" spans="1:17" ht="30" customHeight="1" x14ac:dyDescent="0.35">
      <c r="A144" s="1"/>
      <c r="B144" s="1"/>
      <c r="C144" s="1"/>
      <c r="D144" s="1" t="s">
        <v>104</v>
      </c>
      <c r="E144" s="1"/>
      <c r="F144" s="1"/>
      <c r="G144" s="1"/>
      <c r="H144" s="13"/>
      <c r="I144" s="14"/>
      <c r="J144" s="13"/>
    </row>
    <row r="145" spans="1:16" x14ac:dyDescent="0.35">
      <c r="A145" s="1"/>
      <c r="B145" s="1"/>
      <c r="C145" s="1"/>
      <c r="D145" s="1"/>
      <c r="E145" s="1" t="s">
        <v>105</v>
      </c>
      <c r="F145" s="1"/>
      <c r="G145" s="1"/>
      <c r="H145" s="13"/>
      <c r="I145" s="14"/>
      <c r="J145" s="13"/>
    </row>
    <row r="146" spans="1:16" x14ac:dyDescent="0.35">
      <c r="A146" s="1"/>
      <c r="B146" s="1"/>
      <c r="C146" s="1"/>
      <c r="D146" s="1"/>
      <c r="E146" s="1"/>
      <c r="F146" s="1" t="s">
        <v>106</v>
      </c>
      <c r="G146" s="1"/>
      <c r="H146" s="13">
        <v>2808.05</v>
      </c>
      <c r="I146" s="14"/>
      <c r="J146" s="13">
        <v>2238.0700000000002</v>
      </c>
      <c r="L146" s="5">
        <f>+N146/12*$L$1</f>
        <v>3000</v>
      </c>
      <c r="N146" s="5">
        <v>3000</v>
      </c>
    </row>
    <row r="147" spans="1:16" x14ac:dyDescent="0.35">
      <c r="A147" s="1"/>
      <c r="B147" s="1"/>
      <c r="C147" s="1"/>
      <c r="D147" s="1"/>
      <c r="E147" s="1"/>
      <c r="F147" s="1" t="s">
        <v>154</v>
      </c>
      <c r="G147" s="1"/>
      <c r="H147" s="13">
        <v>-1.8</v>
      </c>
      <c r="I147" s="14"/>
      <c r="J147" s="13">
        <v>0</v>
      </c>
      <c r="L147" s="5">
        <f>+N147/12*$L$1</f>
        <v>0</v>
      </c>
      <c r="N147" s="5">
        <v>0</v>
      </c>
    </row>
    <row r="148" spans="1:16" x14ac:dyDescent="0.35">
      <c r="A148" s="1"/>
      <c r="B148" s="1"/>
      <c r="C148" s="1"/>
      <c r="D148" s="1"/>
      <c r="E148" s="1"/>
      <c r="F148" s="1" t="s">
        <v>153</v>
      </c>
      <c r="G148" s="1"/>
      <c r="H148" s="13">
        <v>2107.69</v>
      </c>
      <c r="I148" s="14"/>
      <c r="J148" s="13">
        <v>2256.35</v>
      </c>
      <c r="L148" s="5">
        <f>+N148/12*$L$1</f>
        <v>2640</v>
      </c>
      <c r="N148" s="5">
        <v>2640</v>
      </c>
    </row>
    <row r="149" spans="1:16" ht="15" thickBot="1" x14ac:dyDescent="0.4">
      <c r="A149" s="1"/>
      <c r="B149" s="1"/>
      <c r="C149" s="1"/>
      <c r="D149" s="1"/>
      <c r="E149" s="1"/>
      <c r="F149" s="1" t="s">
        <v>107</v>
      </c>
      <c r="G149" s="1"/>
      <c r="H149" s="16">
        <v>1556.39</v>
      </c>
      <c r="I149" s="14"/>
      <c r="J149" s="16">
        <v>270.99</v>
      </c>
      <c r="L149" s="16">
        <f>+N149/12*$L$1</f>
        <v>800</v>
      </c>
      <c r="N149" s="16">
        <v>800</v>
      </c>
    </row>
    <row r="150" spans="1:16" x14ac:dyDescent="0.35">
      <c r="A150" s="1"/>
      <c r="B150" s="1"/>
      <c r="C150" s="1"/>
      <c r="D150" s="1"/>
      <c r="E150" s="1" t="s">
        <v>108</v>
      </c>
      <c r="F150" s="1"/>
      <c r="G150" s="1"/>
      <c r="H150" s="13">
        <f>ROUND(SUM(H145:H149),5)</f>
        <v>6470.33</v>
      </c>
      <c r="I150" s="14"/>
      <c r="J150" s="13">
        <f>ROUND(SUM(J145:J149),5)</f>
        <v>4765.41</v>
      </c>
      <c r="L150" s="18">
        <f>ROUND(SUM(L145:L149),5)</f>
        <v>6440</v>
      </c>
      <c r="N150" s="13">
        <f>ROUND(SUM(N145:N149),5)</f>
        <v>6440</v>
      </c>
      <c r="O150" s="17">
        <f>(+H150-J150)/J150</f>
        <v>0.3577698456166416</v>
      </c>
      <c r="P150" s="17">
        <f>(+H150-N150)/N150</f>
        <v>4.7096273291925353E-3</v>
      </c>
    </row>
    <row r="151" spans="1:16" ht="30" customHeight="1" x14ac:dyDescent="0.35">
      <c r="A151" s="1"/>
      <c r="B151" s="1"/>
      <c r="C151" s="1"/>
      <c r="D151" s="1"/>
      <c r="E151" s="1" t="s">
        <v>109</v>
      </c>
      <c r="F151" s="1"/>
      <c r="G151" s="1"/>
      <c r="H151" s="13"/>
      <c r="I151" s="14"/>
      <c r="J151" s="13"/>
      <c r="L151" s="18"/>
      <c r="N151" s="13"/>
    </row>
    <row r="152" spans="1:16" x14ac:dyDescent="0.35">
      <c r="A152" s="1"/>
      <c r="B152" s="1"/>
      <c r="C152" s="1"/>
      <c r="D152" s="1"/>
      <c r="E152" s="1"/>
      <c r="F152" s="1" t="s">
        <v>181</v>
      </c>
      <c r="G152" s="1"/>
      <c r="H152" s="13">
        <v>175</v>
      </c>
      <c r="I152" s="14"/>
      <c r="J152" s="13">
        <v>0</v>
      </c>
      <c r="L152" s="31">
        <f>+N152/12*$L$1</f>
        <v>1956</v>
      </c>
      <c r="N152" s="13">
        <v>1956</v>
      </c>
    </row>
    <row r="153" spans="1:16" x14ac:dyDescent="0.35">
      <c r="A153" s="1"/>
      <c r="B153" s="1"/>
      <c r="C153" s="1"/>
      <c r="D153" s="1"/>
      <c r="E153" s="1"/>
      <c r="F153" s="1" t="s">
        <v>175</v>
      </c>
      <c r="G153" s="1"/>
      <c r="H153" s="13">
        <v>2985.16</v>
      </c>
      <c r="I153" s="14"/>
      <c r="J153" s="13">
        <v>2498.7399999999998</v>
      </c>
      <c r="L153" s="5">
        <f>+N153/12*$L$1</f>
        <v>1600</v>
      </c>
      <c r="N153" s="13">
        <v>1600</v>
      </c>
    </row>
    <row r="154" spans="1:16" x14ac:dyDescent="0.35">
      <c r="A154" s="1"/>
      <c r="B154" s="1"/>
      <c r="C154" s="1"/>
      <c r="D154" s="1"/>
      <c r="E154" s="1"/>
      <c r="F154" s="1" t="s">
        <v>179</v>
      </c>
      <c r="G154" s="1"/>
      <c r="H154" s="13">
        <v>708.02</v>
      </c>
      <c r="I154" s="14"/>
      <c r="J154" s="13">
        <v>1826.17</v>
      </c>
      <c r="L154" s="5">
        <f>+N154/12*$L$1</f>
        <v>1800</v>
      </c>
      <c r="N154" s="13">
        <v>1800</v>
      </c>
    </row>
    <row r="155" spans="1:16" ht="15" thickBot="1" x14ac:dyDescent="0.4">
      <c r="A155" s="1"/>
      <c r="B155" s="1"/>
      <c r="C155" s="1"/>
      <c r="D155" s="1"/>
      <c r="E155" s="1"/>
      <c r="F155" s="1" t="s">
        <v>133</v>
      </c>
      <c r="G155" s="1"/>
      <c r="H155" s="16">
        <v>0</v>
      </c>
      <c r="I155" s="14"/>
      <c r="J155" s="16">
        <v>0</v>
      </c>
      <c r="L155" s="16">
        <f>+N155/12*$L$1</f>
        <v>0</v>
      </c>
      <c r="N155" s="16">
        <v>0</v>
      </c>
    </row>
    <row r="156" spans="1:16" x14ac:dyDescent="0.35">
      <c r="A156" s="1"/>
      <c r="B156" s="1"/>
      <c r="C156" s="1"/>
      <c r="D156" s="1"/>
      <c r="E156" s="1" t="s">
        <v>110</v>
      </c>
      <c r="F156" s="1"/>
      <c r="G156" s="1"/>
      <c r="H156" s="13">
        <f>ROUND(SUM(H151:H155),5)</f>
        <v>3868.18</v>
      </c>
      <c r="I156" s="14"/>
      <c r="J156" s="13">
        <f>ROUND(SUM(J151:J155),5)</f>
        <v>4324.91</v>
      </c>
      <c r="L156" s="13">
        <f>ROUND(SUM(L151:L155),5)</f>
        <v>5356</v>
      </c>
      <c r="N156" s="13">
        <f>ROUND(SUM(N151:N155),5)</f>
        <v>5356</v>
      </c>
      <c r="O156" s="17">
        <f>(+H156-J156)/J156</f>
        <v>-0.10560450968921897</v>
      </c>
      <c r="P156" s="17">
        <f>(+H156-N156)/N156</f>
        <v>-0.27778566094100077</v>
      </c>
    </row>
    <row r="157" spans="1:16" ht="30" customHeight="1" x14ac:dyDescent="0.35">
      <c r="A157" s="1"/>
      <c r="B157" s="1"/>
      <c r="C157" s="1"/>
      <c r="D157" s="1"/>
      <c r="E157" s="1" t="s">
        <v>111</v>
      </c>
      <c r="F157" s="1"/>
      <c r="G157" s="1"/>
      <c r="H157" s="13"/>
      <c r="I157" s="14"/>
      <c r="J157" s="13"/>
    </row>
    <row r="158" spans="1:16" x14ac:dyDescent="0.35">
      <c r="A158" s="1"/>
      <c r="B158" s="1"/>
      <c r="C158" s="1"/>
      <c r="D158" s="1"/>
      <c r="E158" s="1"/>
      <c r="F158" s="1" t="s">
        <v>112</v>
      </c>
      <c r="G158" s="1"/>
      <c r="H158" s="13"/>
      <c r="I158" s="14"/>
      <c r="J158" s="13"/>
    </row>
    <row r="159" spans="1:16" x14ac:dyDescent="0.35">
      <c r="A159" s="1"/>
      <c r="B159" s="1"/>
      <c r="C159" s="1"/>
      <c r="D159" s="1"/>
      <c r="E159" s="1"/>
      <c r="F159" s="1"/>
      <c r="G159" s="1" t="s">
        <v>113</v>
      </c>
      <c r="H159" s="13">
        <v>14055.8</v>
      </c>
      <c r="I159" s="14"/>
      <c r="J159" s="13">
        <v>14754.96</v>
      </c>
      <c r="L159" s="5">
        <f>+N159/12*$L$1</f>
        <v>16867</v>
      </c>
      <c r="N159" s="5">
        <v>16867</v>
      </c>
    </row>
    <row r="160" spans="1:16" x14ac:dyDescent="0.35">
      <c r="A160" s="1"/>
      <c r="B160" s="1"/>
      <c r="C160" s="1"/>
      <c r="D160" s="1"/>
      <c r="E160" s="1"/>
      <c r="F160" s="1"/>
      <c r="G160" s="1" t="s">
        <v>114</v>
      </c>
      <c r="H160" s="13">
        <v>1075.3</v>
      </c>
      <c r="I160" s="14"/>
      <c r="J160" s="13">
        <v>1128.72</v>
      </c>
      <c r="L160" s="18">
        <f>+N160/12*$L$1</f>
        <v>1290</v>
      </c>
      <c r="N160" s="13">
        <v>1290</v>
      </c>
    </row>
    <row r="161" spans="1:16" ht="15" thickBot="1" x14ac:dyDescent="0.4">
      <c r="A161" s="1"/>
      <c r="B161" s="1"/>
      <c r="C161" s="1"/>
      <c r="D161" s="1"/>
      <c r="E161" s="1"/>
      <c r="F161" s="1"/>
      <c r="G161" s="1" t="s">
        <v>172</v>
      </c>
      <c r="H161" s="16">
        <v>0</v>
      </c>
      <c r="I161" s="14"/>
      <c r="J161" s="16">
        <v>0</v>
      </c>
      <c r="L161" s="23">
        <f>+N161/12*$L$1</f>
        <v>100</v>
      </c>
      <c r="N161" s="16">
        <v>100</v>
      </c>
    </row>
    <row r="162" spans="1:16" x14ac:dyDescent="0.35">
      <c r="A162" s="1"/>
      <c r="B162" s="1"/>
      <c r="C162" s="1"/>
      <c r="D162" s="1"/>
      <c r="E162" s="1"/>
      <c r="F162" s="1" t="s">
        <v>115</v>
      </c>
      <c r="G162" s="1"/>
      <c r="H162" s="13">
        <f>ROUND(SUM(H158:H161),5)</f>
        <v>15131.1</v>
      </c>
      <c r="I162" s="14"/>
      <c r="J162" s="13">
        <f>ROUND(SUM(J158:J161),5)</f>
        <v>15883.68</v>
      </c>
      <c r="L162" s="18">
        <f>ROUND(SUM(L158:L161),5)</f>
        <v>18257</v>
      </c>
      <c r="N162" s="13">
        <f>ROUND(SUM(N158:N161),5)</f>
        <v>18257</v>
      </c>
      <c r="O162" s="17">
        <f>(+H162-J162)/J162</f>
        <v>-4.7380707745308386E-2</v>
      </c>
      <c r="P162" s="17">
        <f>(+H162-N162)/N162</f>
        <v>-0.17121651969107737</v>
      </c>
    </row>
    <row r="163" spans="1:16" ht="30" customHeight="1" x14ac:dyDescent="0.35">
      <c r="A163" s="1"/>
      <c r="B163" s="1"/>
      <c r="C163" s="1"/>
      <c r="D163" s="1"/>
      <c r="E163" s="1"/>
      <c r="F163" s="1" t="s">
        <v>147</v>
      </c>
      <c r="G163" s="1"/>
      <c r="H163" s="13">
        <v>12930</v>
      </c>
      <c r="I163" s="14"/>
      <c r="J163" s="13">
        <v>9740</v>
      </c>
      <c r="L163" s="18">
        <f>+N163/12*$L$1</f>
        <v>11500</v>
      </c>
      <c r="N163" s="13">
        <v>11500</v>
      </c>
    </row>
    <row r="164" spans="1:16" x14ac:dyDescent="0.35">
      <c r="A164" s="1"/>
      <c r="B164" s="1"/>
      <c r="C164" s="1"/>
      <c r="D164" s="1"/>
      <c r="E164" s="1"/>
      <c r="F164" s="1" t="s">
        <v>116</v>
      </c>
      <c r="G164" s="1"/>
      <c r="H164" s="13">
        <v>501.75</v>
      </c>
      <c r="I164" s="14"/>
      <c r="J164" s="13">
        <v>286.72000000000003</v>
      </c>
      <c r="L164" s="18">
        <f>+N164/12*$L$1</f>
        <v>500</v>
      </c>
      <c r="N164" s="13">
        <v>500</v>
      </c>
    </row>
    <row r="165" spans="1:16" ht="15" customHeight="1" thickBot="1" x14ac:dyDescent="0.4">
      <c r="A165" s="1"/>
      <c r="B165" s="1"/>
      <c r="C165" s="1"/>
      <c r="D165" s="1"/>
      <c r="E165" s="1"/>
      <c r="F165" s="1" t="s">
        <v>148</v>
      </c>
      <c r="G165" s="1"/>
      <c r="H165" s="16">
        <v>200</v>
      </c>
      <c r="I165" s="14"/>
      <c r="J165" s="16">
        <v>360</v>
      </c>
      <c r="L165" s="23">
        <f>+N165/12*$L$1</f>
        <v>500</v>
      </c>
      <c r="N165" s="16">
        <v>500</v>
      </c>
    </row>
    <row r="166" spans="1:16" x14ac:dyDescent="0.35">
      <c r="A166" s="1"/>
      <c r="B166" s="1"/>
      <c r="C166" s="1"/>
      <c r="D166" s="1"/>
      <c r="E166" s="1" t="s">
        <v>117</v>
      </c>
      <c r="F166" s="1"/>
      <c r="G166" s="1"/>
      <c r="H166" s="13">
        <f>ROUND(H157+SUM(H162:H165),5)</f>
        <v>28762.85</v>
      </c>
      <c r="I166" s="14"/>
      <c r="J166" s="13">
        <f>ROUND(J157+SUM(J162:J165),5)</f>
        <v>26270.400000000001</v>
      </c>
      <c r="L166" s="18">
        <f>ROUND(L157+SUM(L162:L165),5)</f>
        <v>30757</v>
      </c>
      <c r="N166" s="13">
        <f>ROUND(N157+SUM(N162:N165),5)</f>
        <v>30757</v>
      </c>
      <c r="O166" s="17">
        <f>(+H166-J166)/J166</f>
        <v>9.4876743407028327E-2</v>
      </c>
      <c r="P166" s="17">
        <f>(+H166-N166)/N166</f>
        <v>-6.483564716975003E-2</v>
      </c>
    </row>
    <row r="167" spans="1:16" ht="30" customHeight="1" x14ac:dyDescent="0.35">
      <c r="A167" s="1"/>
      <c r="B167" s="1"/>
      <c r="C167" s="1"/>
      <c r="D167" s="1"/>
      <c r="E167" s="1" t="s">
        <v>118</v>
      </c>
      <c r="F167" s="1"/>
      <c r="G167" s="1"/>
      <c r="H167" s="13"/>
      <c r="I167" s="14"/>
      <c r="J167" s="13"/>
      <c r="L167" s="18"/>
      <c r="N167" s="13"/>
    </row>
    <row r="168" spans="1:16" ht="15" customHeight="1" x14ac:dyDescent="0.35">
      <c r="A168" s="1"/>
      <c r="B168" s="1"/>
      <c r="C168" s="1"/>
      <c r="D168" s="1"/>
      <c r="E168" s="1"/>
      <c r="F168" s="1" t="s">
        <v>119</v>
      </c>
      <c r="G168" s="1"/>
      <c r="H168" s="13">
        <v>1435.15</v>
      </c>
      <c r="I168" s="14"/>
      <c r="J168" s="13">
        <v>252.6</v>
      </c>
      <c r="L168" s="18">
        <f>+N168/12*$L$1</f>
        <v>250</v>
      </c>
      <c r="N168" s="13">
        <v>250</v>
      </c>
    </row>
    <row r="169" spans="1:16" ht="15" thickBot="1" x14ac:dyDescent="0.4">
      <c r="A169" s="1"/>
      <c r="B169" s="1"/>
      <c r="C169" s="1"/>
      <c r="D169" s="1"/>
      <c r="E169" s="1"/>
      <c r="F169" s="1" t="s">
        <v>160</v>
      </c>
      <c r="G169" s="1"/>
      <c r="H169" s="16">
        <v>0</v>
      </c>
      <c r="I169" s="14"/>
      <c r="J169" s="16">
        <v>0</v>
      </c>
      <c r="L169" s="23">
        <f>+N169/12*$L$1</f>
        <v>2000</v>
      </c>
      <c r="N169" s="16">
        <v>2000</v>
      </c>
    </row>
    <row r="170" spans="1:16" x14ac:dyDescent="0.35">
      <c r="A170" s="1"/>
      <c r="B170" s="1"/>
      <c r="C170" s="1"/>
      <c r="D170" s="1"/>
      <c r="E170" s="1" t="s">
        <v>120</v>
      </c>
      <c r="F170" s="1"/>
      <c r="G170" s="1"/>
      <c r="H170" s="13">
        <f>ROUND(SUM(H167:H169),5)</f>
        <v>1435.15</v>
      </c>
      <c r="I170" s="14"/>
      <c r="J170" s="13">
        <f>ROUND(SUM(J167:J169),5)</f>
        <v>252.6</v>
      </c>
      <c r="L170" s="18">
        <f>ROUND(SUM(L167:L169),5)</f>
        <v>2250</v>
      </c>
      <c r="N170" s="13">
        <f>ROUND(SUM(N167:N169),5)</f>
        <v>2250</v>
      </c>
    </row>
    <row r="171" spans="1:16" ht="30" customHeight="1" x14ac:dyDescent="0.35">
      <c r="A171" s="1"/>
      <c r="B171" s="1"/>
      <c r="C171" s="1"/>
      <c r="D171" s="1"/>
      <c r="E171" s="1" t="s">
        <v>121</v>
      </c>
      <c r="F171" s="1"/>
      <c r="G171" s="1"/>
      <c r="H171" s="13"/>
      <c r="I171" s="14"/>
      <c r="J171" s="13"/>
    </row>
    <row r="172" spans="1:16" x14ac:dyDescent="0.35">
      <c r="A172" s="1"/>
      <c r="B172" s="1"/>
      <c r="C172" s="1"/>
      <c r="D172" s="1"/>
      <c r="E172" s="1"/>
      <c r="F172" s="1" t="s">
        <v>122</v>
      </c>
      <c r="G172" s="1"/>
      <c r="H172" s="13">
        <f>5316.62+958.8</f>
        <v>6275.42</v>
      </c>
      <c r="I172" s="14"/>
      <c r="J172" s="13">
        <v>1725.76</v>
      </c>
      <c r="L172" s="18">
        <f t="shared" ref="L172:L180" si="6">+N172/12*$L$1</f>
        <v>8250</v>
      </c>
      <c r="N172" s="5">
        <f>1750+4000+1500+1000</f>
        <v>8250</v>
      </c>
    </row>
    <row r="173" spans="1:16" x14ac:dyDescent="0.35">
      <c r="A173" s="1"/>
      <c r="B173" s="1"/>
      <c r="C173" s="1"/>
      <c r="D173" s="1"/>
      <c r="E173" s="1"/>
      <c r="F173" s="1" t="s">
        <v>149</v>
      </c>
      <c r="G173" s="1"/>
      <c r="H173" s="13">
        <v>1448.32</v>
      </c>
      <c r="I173" s="14"/>
      <c r="J173" s="13">
        <v>379.45</v>
      </c>
      <c r="L173" s="18">
        <f t="shared" si="6"/>
        <v>3000</v>
      </c>
      <c r="N173" s="5">
        <v>3000</v>
      </c>
    </row>
    <row r="174" spans="1:16" x14ac:dyDescent="0.35">
      <c r="A174" s="1"/>
      <c r="B174" s="1"/>
      <c r="C174" s="1"/>
      <c r="D174" s="1"/>
      <c r="E174" s="1"/>
      <c r="F174" s="1" t="s">
        <v>187</v>
      </c>
      <c r="G174" s="1"/>
      <c r="H174" s="13">
        <v>0</v>
      </c>
      <c r="I174" s="14"/>
      <c r="J174" s="13">
        <v>0</v>
      </c>
      <c r="L174" s="18">
        <f t="shared" si="6"/>
        <v>1000</v>
      </c>
      <c r="N174" s="5">
        <v>1000</v>
      </c>
    </row>
    <row r="175" spans="1:16" x14ac:dyDescent="0.35">
      <c r="A175" s="1"/>
      <c r="B175" s="1"/>
      <c r="C175" s="1"/>
      <c r="D175" s="1"/>
      <c r="E175" s="1"/>
      <c r="F175" s="1" t="s">
        <v>184</v>
      </c>
      <c r="G175" s="1"/>
      <c r="H175" s="13">
        <v>0</v>
      </c>
      <c r="I175" s="14"/>
      <c r="J175" s="13">
        <v>0</v>
      </c>
      <c r="L175" s="18">
        <f t="shared" ref="L175" si="7">+N175/12*$L$1</f>
        <v>0</v>
      </c>
      <c r="N175" s="5">
        <v>0</v>
      </c>
    </row>
    <row r="176" spans="1:16" hidden="1" x14ac:dyDescent="0.35">
      <c r="A176" s="1"/>
      <c r="B176" s="1"/>
      <c r="C176" s="1"/>
      <c r="D176" s="1"/>
      <c r="E176" s="1"/>
      <c r="F176" s="1" t="s">
        <v>170</v>
      </c>
      <c r="G176" s="1"/>
      <c r="H176" s="13">
        <v>0</v>
      </c>
      <c r="I176" s="14"/>
      <c r="J176" s="13">
        <v>0</v>
      </c>
      <c r="L176" s="18">
        <f t="shared" si="6"/>
        <v>0</v>
      </c>
      <c r="N176" s="5">
        <v>0</v>
      </c>
    </row>
    <row r="177" spans="1:16" hidden="1" x14ac:dyDescent="0.35">
      <c r="A177" s="1"/>
      <c r="B177" s="1"/>
      <c r="C177" s="1"/>
      <c r="D177" s="1"/>
      <c r="E177" s="1"/>
      <c r="F177" s="1" t="s">
        <v>150</v>
      </c>
      <c r="G177" s="1"/>
      <c r="H177" s="13">
        <v>0</v>
      </c>
      <c r="I177" s="14"/>
      <c r="J177" s="13">
        <v>0</v>
      </c>
      <c r="L177" s="18">
        <f t="shared" si="6"/>
        <v>0</v>
      </c>
      <c r="N177" s="5">
        <v>0</v>
      </c>
    </row>
    <row r="178" spans="1:16" x14ac:dyDescent="0.35">
      <c r="A178" s="1"/>
      <c r="B178" s="1"/>
      <c r="C178" s="1"/>
      <c r="D178" s="1"/>
      <c r="E178" s="1"/>
      <c r="F178" s="1" t="s">
        <v>123</v>
      </c>
      <c r="G178" s="1"/>
      <c r="H178" s="13">
        <v>0</v>
      </c>
      <c r="I178" s="14"/>
      <c r="J178" s="13">
        <v>0</v>
      </c>
      <c r="L178" s="18">
        <f t="shared" si="6"/>
        <v>1000</v>
      </c>
      <c r="N178" s="5">
        <v>1000</v>
      </c>
    </row>
    <row r="179" spans="1:16" x14ac:dyDescent="0.35">
      <c r="A179" s="1"/>
      <c r="B179" s="1"/>
      <c r="C179" s="1"/>
      <c r="D179" s="1"/>
      <c r="E179" s="1"/>
      <c r="F179" s="1" t="s">
        <v>151</v>
      </c>
      <c r="G179" s="1"/>
      <c r="H179" s="13">
        <v>0</v>
      </c>
      <c r="I179" s="14"/>
      <c r="J179" s="13">
        <v>0</v>
      </c>
      <c r="L179" s="18">
        <f t="shared" si="6"/>
        <v>0</v>
      </c>
      <c r="N179" s="5">
        <v>0</v>
      </c>
    </row>
    <row r="180" spans="1:16" hidden="1" x14ac:dyDescent="0.35">
      <c r="A180" s="1"/>
      <c r="B180" s="1"/>
      <c r="C180" s="1"/>
      <c r="D180" s="1"/>
      <c r="E180" s="1"/>
      <c r="F180" s="1" t="s">
        <v>168</v>
      </c>
      <c r="G180" s="1"/>
      <c r="H180" s="13">
        <v>0</v>
      </c>
      <c r="I180" s="14"/>
      <c r="J180" s="13">
        <v>0</v>
      </c>
      <c r="L180" s="18">
        <f t="shared" si="6"/>
        <v>0</v>
      </c>
      <c r="N180" s="5">
        <v>0</v>
      </c>
    </row>
    <row r="181" spans="1:16" ht="15" thickBot="1" x14ac:dyDescent="0.4">
      <c r="A181" s="1"/>
      <c r="B181" s="1"/>
      <c r="C181" s="1"/>
      <c r="D181" s="1"/>
      <c r="E181" s="1"/>
      <c r="F181" s="1" t="s">
        <v>158</v>
      </c>
      <c r="G181" s="1"/>
      <c r="H181" s="13">
        <v>169</v>
      </c>
      <c r="I181" s="14"/>
      <c r="J181" s="13">
        <v>183</v>
      </c>
      <c r="L181" s="23">
        <f>+N181/12*$L$1</f>
        <v>200</v>
      </c>
      <c r="N181" s="5">
        <v>200</v>
      </c>
    </row>
    <row r="182" spans="1:16" ht="15" thickBot="1" x14ac:dyDescent="0.4">
      <c r="A182" s="1"/>
      <c r="B182" s="1"/>
      <c r="C182" s="1"/>
      <c r="D182" s="1"/>
      <c r="E182" s="1" t="s">
        <v>124</v>
      </c>
      <c r="F182" s="1"/>
      <c r="G182" s="1"/>
      <c r="H182" s="26">
        <f>ROUND(SUM(H171:H181),5)</f>
        <v>7892.74</v>
      </c>
      <c r="I182" s="14"/>
      <c r="J182" s="26">
        <f>ROUND(SUM(J171:J181),5)</f>
        <v>2288.21</v>
      </c>
      <c r="L182" s="29">
        <f>ROUND(SUM(L171:L181),5)</f>
        <v>13450</v>
      </c>
      <c r="N182" s="26">
        <f>ROUND(SUM(N171:N181),5)</f>
        <v>13450</v>
      </c>
      <c r="O182" s="17">
        <f>(+H182-J182)/J182</f>
        <v>2.4493075373326749</v>
      </c>
      <c r="P182" s="17">
        <f>(+H182-N182)/N182</f>
        <v>-0.41317918215613386</v>
      </c>
    </row>
    <row r="183" spans="1:16" ht="30" hidden="1" customHeight="1" x14ac:dyDescent="0.35">
      <c r="A183" s="1"/>
      <c r="B183" s="1"/>
      <c r="C183" s="1"/>
      <c r="D183" s="1"/>
      <c r="E183" s="1" t="s">
        <v>155</v>
      </c>
      <c r="F183" s="1"/>
      <c r="G183" s="1"/>
      <c r="H183" s="26"/>
      <c r="I183" s="14"/>
      <c r="J183" s="26"/>
      <c r="L183" s="29"/>
      <c r="N183" s="26"/>
    </row>
    <row r="184" spans="1:16" ht="15" hidden="1" thickBot="1" x14ac:dyDescent="0.4">
      <c r="A184" s="1"/>
      <c r="B184" s="1"/>
      <c r="C184" s="1"/>
      <c r="D184" s="1"/>
      <c r="E184" s="1"/>
      <c r="F184" s="1" t="s">
        <v>156</v>
      </c>
      <c r="G184" s="1"/>
      <c r="H184" s="13">
        <v>0</v>
      </c>
      <c r="I184" s="14"/>
      <c r="J184" s="13">
        <v>0</v>
      </c>
      <c r="L184" s="23">
        <f>+N184/12*$L$1</f>
        <v>0</v>
      </c>
      <c r="N184" s="13">
        <v>0</v>
      </c>
    </row>
    <row r="185" spans="1:16" ht="15" hidden="1" thickBot="1" x14ac:dyDescent="0.4">
      <c r="A185" s="1"/>
      <c r="B185" s="1"/>
      <c r="C185" s="1"/>
      <c r="D185" s="1"/>
      <c r="E185" s="1" t="s">
        <v>157</v>
      </c>
      <c r="F185" s="1"/>
      <c r="G185" s="1"/>
      <c r="H185" s="26">
        <f>+H184</f>
        <v>0</v>
      </c>
      <c r="I185" s="14"/>
      <c r="J185" s="26">
        <f>+J184</f>
        <v>0</v>
      </c>
      <c r="L185" s="32">
        <f>+L184</f>
        <v>0</v>
      </c>
      <c r="N185" s="26">
        <f>+N184</f>
        <v>0</v>
      </c>
    </row>
    <row r="186" spans="1:16" ht="30" customHeight="1" thickBot="1" x14ac:dyDescent="0.4">
      <c r="A186" s="1"/>
      <c r="B186" s="1"/>
      <c r="C186" s="1"/>
      <c r="D186" s="1" t="s">
        <v>125</v>
      </c>
      <c r="E186" s="1"/>
      <c r="F186" s="1"/>
      <c r="G186" s="1"/>
      <c r="H186" s="26">
        <f>ROUND(H144+H150+H156+H166+H170+H182+H185,5)</f>
        <v>48429.25</v>
      </c>
      <c r="I186" s="14"/>
      <c r="J186" s="26">
        <f>ROUND(J144+J150+J156+J166+J170+J182+J185,5)</f>
        <v>37901.53</v>
      </c>
      <c r="L186" s="29">
        <f>ROUND(L144+L150+L156+L166+L170+L182+L185,5)</f>
        <v>58253</v>
      </c>
      <c r="N186" s="26">
        <f>ROUND(N144+N150+N156+N166+N170+N182+N185,5)</f>
        <v>58253</v>
      </c>
      <c r="O186" s="17">
        <f>(+H186-J186)/J186</f>
        <v>0.27776504009204911</v>
      </c>
      <c r="P186" s="17">
        <f>(+H186-N186)/N186</f>
        <v>-0.16863938337939677</v>
      </c>
    </row>
    <row r="187" spans="1:16" ht="30" customHeight="1" thickBot="1" x14ac:dyDescent="0.4">
      <c r="A187" s="1"/>
      <c r="B187" s="1"/>
      <c r="C187" s="1" t="s">
        <v>126</v>
      </c>
      <c r="D187" s="1"/>
      <c r="E187" s="1"/>
      <c r="F187" s="1"/>
      <c r="G187" s="1"/>
      <c r="H187" s="26">
        <f>ROUND(H38+H71+H86+SUM(H114:H115)+H143+H186,5)</f>
        <v>416693.16</v>
      </c>
      <c r="I187" s="14"/>
      <c r="J187" s="26">
        <f>ROUND(J38+J71+J86+SUM(J114:J115)+J143+J186,5)</f>
        <v>357293.85</v>
      </c>
      <c r="L187" s="29">
        <f>ROUND(L38+L71+L86+SUM(L114:L115)+L143+L186,5)</f>
        <v>431935</v>
      </c>
      <c r="N187" s="26">
        <f>ROUND(N38+N71+N86+SUM(N114:N115)+N143+N186,5)</f>
        <v>431935</v>
      </c>
      <c r="O187" s="25">
        <f>(+H187-J187)/J187</f>
        <v>0.16624778176282631</v>
      </c>
      <c r="P187" s="25">
        <f>(+H187-N187)/N187</f>
        <v>-3.5287346475742935E-2</v>
      </c>
    </row>
    <row r="188" spans="1:16" s="34" customFormat="1" ht="30" customHeight="1" thickBot="1" x14ac:dyDescent="0.3">
      <c r="A188" s="1" t="s">
        <v>127</v>
      </c>
      <c r="B188" s="1"/>
      <c r="C188" s="1"/>
      <c r="D188" s="1"/>
      <c r="E188" s="1"/>
      <c r="F188" s="1"/>
      <c r="G188" s="1"/>
      <c r="H188" s="33">
        <f>ROUND(H37-H187,5)</f>
        <v>7192.6</v>
      </c>
      <c r="I188" s="1"/>
      <c r="J188" s="33">
        <f>ROUND(J37-J187,5)</f>
        <v>21885.08</v>
      </c>
      <c r="L188" s="35">
        <v>0</v>
      </c>
      <c r="N188" s="33">
        <v>0</v>
      </c>
    </row>
    <row r="189" spans="1:16" ht="15" thickTop="1" x14ac:dyDescent="0.35"/>
    <row r="191" spans="1:16" x14ac:dyDescent="0.35">
      <c r="J191" s="15"/>
    </row>
  </sheetData>
  <printOptions horizontalCentered="1"/>
  <pageMargins left="0.7" right="0.7" top="1.25" bottom="0.75" header="0.75" footer="0.3"/>
  <pageSetup scale="85" orientation="portrait" horizontalDpi="4294967293" verticalDpi="4294967293" r:id="rId1"/>
  <headerFooter>
    <oddHeader>&amp;L&amp;"Arial,Bold"&amp;8
&amp;C&amp;"Arial,Bold"&amp;12 Unitarian Universalist Church of the North Hills
&amp;14 Revenues and Disbursements June 2025</oddHeader>
    <oddFooter>&amp;R&amp;"Arial,Bold"&amp;8 Page &amp;P of &amp;N</oddFooter>
  </headerFooter>
  <rowBreaks count="4" manualBreakCount="4">
    <brk id="37" max="16383" man="1"/>
    <brk id="71" max="16383" man="1"/>
    <brk id="114" max="16383" man="1"/>
    <brk id="14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</dc:creator>
  <cp:lastModifiedBy>Lindsay Scott</cp:lastModifiedBy>
  <cp:lastPrinted>2025-07-16T22:59:46Z</cp:lastPrinted>
  <dcterms:created xsi:type="dcterms:W3CDTF">2013-09-08T20:53:47Z</dcterms:created>
  <dcterms:modified xsi:type="dcterms:W3CDTF">2025-07-24T01:04:11Z</dcterms:modified>
</cp:coreProperties>
</file>