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7ea646a74684d7b/ONC Leadership Board 2025.2026/"/>
    </mc:Choice>
  </mc:AlternateContent>
  <xr:revisionPtr revIDLastSave="0" documentId="8_{BB7DC765-C2A2-47A5-9235-8369B367848D}" xr6:coauthVersionLast="47" xr6:coauthVersionMax="47" xr10:uidLastSave="{00000000-0000-0000-0000-000000000000}"/>
  <bookViews>
    <workbookView xWindow="-108" yWindow="-108" windowWidth="23256" windowHeight="13896" xr2:uid="{ADC09D4D-346E-EE43-AE0C-17115F31CACC}"/>
  </bookViews>
  <sheets>
    <sheet name="Sheet1" sheetId="1" r:id="rId1"/>
  </sheets>
  <definedNames>
    <definedName name="_xlnm.Print_Area" localSheetId="0">Sheet1!$A$1:$AC$243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7" i="1" l="1"/>
  <c r="Y128" i="1" s="1"/>
  <c r="W67" i="1"/>
  <c r="W66" i="1"/>
  <c r="Y191" i="1"/>
  <c r="Y176" i="1"/>
  <c r="Y162" i="1"/>
  <c r="Y141" i="1"/>
  <c r="AA143" i="1"/>
  <c r="Y137" i="1"/>
  <c r="Y83" i="1"/>
  <c r="Y81" i="1"/>
  <c r="V220" i="1"/>
  <c r="W186" i="1"/>
  <c r="V186" i="1"/>
  <c r="AB162" i="1"/>
  <c r="V128" i="1"/>
  <c r="Y114" i="1"/>
  <c r="Y115" i="1" s="1"/>
  <c r="W114" i="1"/>
  <c r="W115" i="1" s="1"/>
  <c r="V114" i="1"/>
  <c r="V115" i="1" s="1"/>
  <c r="V104" i="1"/>
  <c r="V69" i="1"/>
  <c r="V19" i="1"/>
  <c r="Y85" i="1"/>
  <c r="Y156" i="1"/>
  <c r="Y159" i="1" s="1"/>
  <c r="Y227" i="1"/>
  <c r="Y217" i="1"/>
  <c r="Y210" i="1"/>
  <c r="Y193" i="1"/>
  <c r="Y199" i="1" s="1"/>
  <c r="Y186" i="1"/>
  <c r="Y123" i="1"/>
  <c r="Y104" i="1"/>
  <c r="Y99" i="1"/>
  <c r="Y79" i="1"/>
  <c r="Y59" i="1"/>
  <c r="Y54" i="1"/>
  <c r="Y41" i="1"/>
  <c r="Y19" i="1"/>
  <c r="Y13" i="1"/>
  <c r="V227" i="1"/>
  <c r="V217" i="1"/>
  <c r="V210" i="1"/>
  <c r="V193" i="1"/>
  <c r="V170" i="1"/>
  <c r="V171" i="1" s="1"/>
  <c r="V159" i="1"/>
  <c r="V153" i="1"/>
  <c r="V141" i="1"/>
  <c r="V144" i="1" s="1"/>
  <c r="V123" i="1"/>
  <c r="V99" i="1"/>
  <c r="V85" i="1"/>
  <c r="V79" i="1"/>
  <c r="V59" i="1"/>
  <c r="V54" i="1"/>
  <c r="V41" i="1"/>
  <c r="V13" i="1"/>
  <c r="S186" i="1"/>
  <c r="Y30" i="1" l="1"/>
  <c r="Y63" i="1" s="1"/>
  <c r="V30" i="1"/>
  <c r="V63" i="1" s="1"/>
  <c r="V223" i="1"/>
  <c r="V173" i="1"/>
  <c r="V90" i="1"/>
  <c r="Y223" i="1"/>
  <c r="V199" i="1"/>
  <c r="Y90" i="1"/>
  <c r="S159" i="1"/>
  <c r="T114" i="1"/>
  <c r="T115" i="1" s="1"/>
  <c r="S114" i="1"/>
  <c r="AB63" i="1" l="1"/>
  <c r="AA63" i="1"/>
  <c r="Y67" i="1"/>
  <c r="Y66" i="1"/>
  <c r="V238" i="1"/>
  <c r="V240" i="1" s="1"/>
  <c r="AB66" i="1"/>
  <c r="AC66" i="1" s="1"/>
  <c r="AB67" i="1"/>
  <c r="AC67" i="1" s="1"/>
  <c r="W244" i="1"/>
  <c r="S205" i="1"/>
  <c r="W246" i="1" l="1"/>
  <c r="W123" i="1" l="1"/>
  <c r="S102" i="1"/>
  <c r="S104" i="1" s="1"/>
  <c r="S115" i="1" s="1"/>
  <c r="S75" i="1"/>
  <c r="S79" i="1" s="1"/>
  <c r="S143" i="1"/>
  <c r="S137" i="1"/>
  <c r="S210" i="1"/>
  <c r="S193" i="1"/>
  <c r="S199" i="1" s="1"/>
  <c r="S153" i="1"/>
  <c r="S121" i="1"/>
  <c r="S123" i="1" s="1"/>
  <c r="S69" i="1"/>
  <c r="W104" i="1"/>
  <c r="W99" i="1"/>
  <c r="W227" i="1"/>
  <c r="W217" i="1"/>
  <c r="W210" i="1"/>
  <c r="W193" i="1"/>
  <c r="W199" i="1" s="1"/>
  <c r="W168" i="1"/>
  <c r="AA168" i="1" s="1"/>
  <c r="Y168" i="1" s="1"/>
  <c r="W169" i="1"/>
  <c r="AA169" i="1" s="1"/>
  <c r="Y169" i="1" s="1"/>
  <c r="Y170" i="1" s="1"/>
  <c r="W163" i="1"/>
  <c r="AA163" i="1" s="1"/>
  <c r="Y163" i="1" s="1"/>
  <c r="W143" i="1"/>
  <c r="Y143" i="1" s="1"/>
  <c r="W140" i="1"/>
  <c r="W159" i="1"/>
  <c r="W128" i="1"/>
  <c r="W85" i="1"/>
  <c r="W79" i="1"/>
  <c r="W59" i="1"/>
  <c r="W54" i="1"/>
  <c r="W41" i="1"/>
  <c r="W19" i="1"/>
  <c r="W13" i="1"/>
  <c r="G233" i="1"/>
  <c r="D233" i="1"/>
  <c r="T227" i="1"/>
  <c r="S227" i="1"/>
  <c r="Q227" i="1"/>
  <c r="P227" i="1"/>
  <c r="K227" i="1"/>
  <c r="I227" i="1"/>
  <c r="G227" i="1"/>
  <c r="D227" i="1"/>
  <c r="M226" i="1"/>
  <c r="M221" i="1"/>
  <c r="P220" i="1"/>
  <c r="M220" i="1"/>
  <c r="M219" i="1"/>
  <c r="M218" i="1"/>
  <c r="T217" i="1"/>
  <c r="S217" i="1"/>
  <c r="Q217" i="1"/>
  <c r="P217" i="1"/>
  <c r="K217" i="1"/>
  <c r="I217" i="1"/>
  <c r="G217" i="1"/>
  <c r="G223" i="1" s="1"/>
  <c r="D217" i="1"/>
  <c r="D223" i="1" s="1"/>
  <c r="M216" i="1"/>
  <c r="M215" i="1"/>
  <c r="M212" i="1"/>
  <c r="M211" i="1"/>
  <c r="T210" i="1"/>
  <c r="Q210" i="1"/>
  <c r="K210" i="1"/>
  <c r="I210" i="1"/>
  <c r="P205" i="1"/>
  <c r="P210" i="1" s="1"/>
  <c r="M202" i="1"/>
  <c r="M198" i="1"/>
  <c r="M197" i="1"/>
  <c r="M196" i="1"/>
  <c r="M195" i="1"/>
  <c r="T193" i="1"/>
  <c r="T199" i="1" s="1"/>
  <c r="P193" i="1"/>
  <c r="P199" i="1" s="1"/>
  <c r="K193" i="1"/>
  <c r="I193" i="1"/>
  <c r="I199" i="1" s="1"/>
  <c r="G193" i="1"/>
  <c r="G199" i="1" s="1"/>
  <c r="D193" i="1"/>
  <c r="D199" i="1" s="1"/>
  <c r="Q192" i="1"/>
  <c r="Q193" i="1" s="1"/>
  <c r="Q199" i="1" s="1"/>
  <c r="M192" i="1"/>
  <c r="M191" i="1"/>
  <c r="T186" i="1"/>
  <c r="Q186" i="1"/>
  <c r="P186" i="1"/>
  <c r="K186" i="1"/>
  <c r="I186" i="1"/>
  <c r="G186" i="1"/>
  <c r="D186" i="1"/>
  <c r="M184" i="1"/>
  <c r="M182" i="1"/>
  <c r="M181" i="1"/>
  <c r="M177" i="1"/>
  <c r="M176" i="1"/>
  <c r="M172" i="1"/>
  <c r="S170" i="1"/>
  <c r="S171" i="1" s="1"/>
  <c r="Q170" i="1"/>
  <c r="P170" i="1"/>
  <c r="P171" i="1" s="1"/>
  <c r="K170" i="1"/>
  <c r="K171" i="1" s="1"/>
  <c r="I170" i="1"/>
  <c r="G170" i="1"/>
  <c r="G171" i="1" s="1"/>
  <c r="D170" i="1"/>
  <c r="D171" i="1" s="1"/>
  <c r="T169" i="1"/>
  <c r="M169" i="1"/>
  <c r="T168" i="1"/>
  <c r="M168" i="1"/>
  <c r="M167" i="1"/>
  <c r="M166" i="1"/>
  <c r="M164" i="1"/>
  <c r="T163" i="1"/>
  <c r="M163" i="1"/>
  <c r="Q162" i="1"/>
  <c r="M162" i="1"/>
  <c r="T159" i="1"/>
  <c r="P159" i="1"/>
  <c r="K159" i="1"/>
  <c r="I159" i="1"/>
  <c r="G159" i="1"/>
  <c r="D159" i="1"/>
  <c r="M158" i="1"/>
  <c r="M157" i="1"/>
  <c r="Q156" i="1"/>
  <c r="Q159" i="1" s="1"/>
  <c r="M156" i="1"/>
  <c r="G152" i="1"/>
  <c r="G153" i="1" s="1"/>
  <c r="D152" i="1"/>
  <c r="D153" i="1" s="1"/>
  <c r="G144" i="1"/>
  <c r="M143" i="1"/>
  <c r="M142" i="1"/>
  <c r="S141" i="1"/>
  <c r="Q141" i="1"/>
  <c r="P141" i="1"/>
  <c r="P144" i="1" s="1"/>
  <c r="K141" i="1"/>
  <c r="K144" i="1" s="1"/>
  <c r="I141" i="1"/>
  <c r="I144" i="1" s="1"/>
  <c r="D141" i="1"/>
  <c r="D144" i="1" s="1"/>
  <c r="T140" i="1"/>
  <c r="M140" i="1"/>
  <c r="M139" i="1"/>
  <c r="Q137" i="1"/>
  <c r="M137" i="1"/>
  <c r="T128" i="1"/>
  <c r="S128" i="1"/>
  <c r="Q128" i="1"/>
  <c r="P128" i="1"/>
  <c r="K128" i="1"/>
  <c r="I128" i="1"/>
  <c r="G128" i="1"/>
  <c r="D128" i="1"/>
  <c r="M127" i="1"/>
  <c r="T123" i="1"/>
  <c r="Q123" i="1"/>
  <c r="P123" i="1"/>
  <c r="K123" i="1"/>
  <c r="I123" i="1"/>
  <c r="G123" i="1"/>
  <c r="D123" i="1"/>
  <c r="G115" i="1"/>
  <c r="D115" i="1"/>
  <c r="Q114" i="1"/>
  <c r="Q115" i="1" s="1"/>
  <c r="P114" i="1"/>
  <c r="P115" i="1" s="1"/>
  <c r="K114" i="1"/>
  <c r="K115" i="1" s="1"/>
  <c r="I114" i="1"/>
  <c r="I115" i="1" s="1"/>
  <c r="M112" i="1"/>
  <c r="M111" i="1"/>
  <c r="M108" i="1"/>
  <c r="P104" i="1"/>
  <c r="I104" i="1"/>
  <c r="T99" i="1"/>
  <c r="S99" i="1"/>
  <c r="P99" i="1"/>
  <c r="K99" i="1"/>
  <c r="I99" i="1"/>
  <c r="G99" i="1"/>
  <c r="D99" i="1"/>
  <c r="Q97" i="1"/>
  <c r="Q99" i="1" s="1"/>
  <c r="M97" i="1"/>
  <c r="M96" i="1"/>
  <c r="M94" i="1"/>
  <c r="G90" i="1"/>
  <c r="T85" i="1"/>
  <c r="S85" i="1"/>
  <c r="Q85" i="1"/>
  <c r="P85" i="1"/>
  <c r="K85" i="1"/>
  <c r="I85" i="1"/>
  <c r="D85" i="1"/>
  <c r="D90" i="1" s="1"/>
  <c r="M84" i="1"/>
  <c r="M83" i="1"/>
  <c r="M81" i="1"/>
  <c r="T79" i="1"/>
  <c r="Q79" i="1"/>
  <c r="P79" i="1"/>
  <c r="K79" i="1"/>
  <c r="I79" i="1"/>
  <c r="M77" i="1"/>
  <c r="M76" i="1"/>
  <c r="M75" i="1"/>
  <c r="M73" i="1"/>
  <c r="M72" i="1"/>
  <c r="T69" i="1"/>
  <c r="Q69" i="1"/>
  <c r="P69" i="1"/>
  <c r="K69" i="1"/>
  <c r="I69" i="1"/>
  <c r="G69" i="1"/>
  <c r="D69" i="1"/>
  <c r="M67" i="1"/>
  <c r="T59" i="1"/>
  <c r="S59" i="1"/>
  <c r="Q59" i="1"/>
  <c r="P59" i="1"/>
  <c r="K59" i="1"/>
  <c r="I59" i="1"/>
  <c r="G59" i="1"/>
  <c r="D59" i="1"/>
  <c r="M58" i="1"/>
  <c r="M57" i="1"/>
  <c r="T54" i="1"/>
  <c r="S54" i="1"/>
  <c r="P54" i="1"/>
  <c r="K54" i="1"/>
  <c r="I54" i="1"/>
  <c r="G54" i="1"/>
  <c r="D54" i="1"/>
  <c r="P49" i="1"/>
  <c r="G49" i="1"/>
  <c r="D49" i="1"/>
  <c r="T41" i="1"/>
  <c r="S41" i="1"/>
  <c r="Q41" i="1"/>
  <c r="P41" i="1"/>
  <c r="K41" i="1"/>
  <c r="I41" i="1"/>
  <c r="G41" i="1"/>
  <c r="D41" i="1"/>
  <c r="M40" i="1"/>
  <c r="M39" i="1"/>
  <c r="M38" i="1"/>
  <c r="M36" i="1"/>
  <c r="M34" i="1"/>
  <c r="M33" i="1"/>
  <c r="I26" i="1"/>
  <c r="T19" i="1"/>
  <c r="S19" i="1"/>
  <c r="Q19" i="1"/>
  <c r="K19" i="1"/>
  <c r="I19" i="1"/>
  <c r="G19" i="1"/>
  <c r="D19" i="1"/>
  <c r="P17" i="1"/>
  <c r="P19" i="1" s="1"/>
  <c r="M17" i="1"/>
  <c r="M16" i="1"/>
  <c r="T13" i="1"/>
  <c r="S13" i="1"/>
  <c r="Q13" i="1"/>
  <c r="P13" i="1"/>
  <c r="K13" i="1"/>
  <c r="I13" i="1"/>
  <c r="G13" i="1"/>
  <c r="D13" i="1"/>
  <c r="M10" i="1"/>
  <c r="M9" i="1"/>
  <c r="S30" i="1" l="1"/>
  <c r="W141" i="1"/>
  <c r="W144" i="1" s="1"/>
  <c r="AA140" i="1"/>
  <c r="Y140" i="1" s="1"/>
  <c r="Y144" i="1" s="1"/>
  <c r="S63" i="1"/>
  <c r="Y171" i="1"/>
  <c r="S144" i="1"/>
  <c r="S173" i="1" s="1"/>
  <c r="S223" i="1"/>
  <c r="G22" i="1"/>
  <c r="G63" i="1" s="1"/>
  <c r="G240" i="1" s="1"/>
  <c r="S90" i="1"/>
  <c r="P30" i="1"/>
  <c r="P63" i="1" s="1"/>
  <c r="W170" i="1"/>
  <c r="W171" i="1" s="1"/>
  <c r="I223" i="1"/>
  <c r="W30" i="1"/>
  <c r="M123" i="1"/>
  <c r="W223" i="1"/>
  <c r="W90" i="1"/>
  <c r="T90" i="1"/>
  <c r="Q171" i="1"/>
  <c r="M128" i="1"/>
  <c r="T63" i="1"/>
  <c r="K223" i="1"/>
  <c r="M59" i="1"/>
  <c r="P90" i="1"/>
  <c r="Q144" i="1"/>
  <c r="M159" i="1"/>
  <c r="M41" i="1"/>
  <c r="M79" i="1"/>
  <c r="M99" i="1"/>
  <c r="M193" i="1"/>
  <c r="K199" i="1"/>
  <c r="M199" i="1" s="1"/>
  <c r="W63" i="1"/>
  <c r="M186" i="1"/>
  <c r="M217" i="1"/>
  <c r="P223" i="1"/>
  <c r="M54" i="1"/>
  <c r="K90" i="1"/>
  <c r="P173" i="1"/>
  <c r="M227" i="1"/>
  <c r="I30" i="1"/>
  <c r="I63" i="1" s="1"/>
  <c r="Q223" i="1"/>
  <c r="M69" i="1"/>
  <c r="Q90" i="1"/>
  <c r="M13" i="1"/>
  <c r="D22" i="1"/>
  <c r="D63" i="1" s="1"/>
  <c r="D240" i="1" s="1"/>
  <c r="K30" i="1"/>
  <c r="K63" i="1" s="1"/>
  <c r="M115" i="1"/>
  <c r="T141" i="1"/>
  <c r="T144" i="1" s="1"/>
  <c r="T170" i="1"/>
  <c r="T171" i="1" s="1"/>
  <c r="T223" i="1"/>
  <c r="Q63" i="1"/>
  <c r="I90" i="1"/>
  <c r="M19" i="1"/>
  <c r="M170" i="1"/>
  <c r="M144" i="1"/>
  <c r="K173" i="1"/>
  <c r="M141" i="1"/>
  <c r="I171" i="1"/>
  <c r="M171" i="1" s="1"/>
  <c r="M85" i="1"/>
  <c r="M210" i="1"/>
  <c r="M114" i="1"/>
  <c r="Y173" i="1" l="1"/>
  <c r="S238" i="1"/>
  <c r="M223" i="1"/>
  <c r="M30" i="1"/>
  <c r="Q173" i="1"/>
  <c r="Q238" i="1" s="1"/>
  <c r="Q240" i="1" s="1"/>
  <c r="P238" i="1"/>
  <c r="P240" i="1" s="1"/>
  <c r="W173" i="1"/>
  <c r="T238" i="1"/>
  <c r="T240" i="1" s="1"/>
  <c r="T173" i="1"/>
  <c r="M63" i="1"/>
  <c r="M90" i="1"/>
  <c r="K238" i="1"/>
  <c r="K240" i="1" s="1"/>
  <c r="I173" i="1"/>
  <c r="I238" i="1" s="1"/>
  <c r="I240" i="1" s="1"/>
  <c r="W69" i="1" l="1"/>
  <c r="M173" i="1"/>
  <c r="M240" i="1"/>
  <c r="M238" i="1"/>
  <c r="S240" i="1"/>
  <c r="AA67" i="1" l="1"/>
  <c r="W238" i="1"/>
  <c r="W240" i="1" s="1"/>
  <c r="AA66" i="1"/>
  <c r="Y69" i="1" s="1"/>
  <c r="Y238" i="1" s="1"/>
  <c r="Y240" i="1" s="1"/>
</calcChain>
</file>

<file path=xl/sharedStrings.xml><?xml version="1.0" encoding="utf-8"?>
<sst xmlns="http://schemas.openxmlformats.org/spreadsheetml/2006/main" count="207" uniqueCount="187">
  <si>
    <t>2024 Actuals</t>
  </si>
  <si>
    <t>Jan - Dec 19</t>
  </si>
  <si>
    <t>% of Budget</t>
  </si>
  <si>
    <t xml:space="preserve">2024 Budget </t>
  </si>
  <si>
    <t>2025 Budget</t>
  </si>
  <si>
    <t>PLEDGES</t>
  </si>
  <si>
    <t>Advanced Pledges</t>
  </si>
  <si>
    <t>Pledges</t>
  </si>
  <si>
    <t>Pledges Paid Late Prior Year</t>
  </si>
  <si>
    <t>Other</t>
  </si>
  <si>
    <t>Total PLEDGES</t>
  </si>
  <si>
    <t>NON-PLEDGE INCOME</t>
  </si>
  <si>
    <t>Loose Offerings</t>
  </si>
  <si>
    <t>Non-pledge Member Giving</t>
  </si>
  <si>
    <t>Total NON-PLEDGE INCOME</t>
  </si>
  <si>
    <t>OUTREACH INCOME</t>
  </si>
  <si>
    <t>Christmas Offering</t>
  </si>
  <si>
    <t>Food Bank</t>
  </si>
  <si>
    <t>Total OUTREACH INCOME</t>
  </si>
  <si>
    <t>2022 Capital Campaign</t>
  </si>
  <si>
    <t>Amazon Smile</t>
  </si>
  <si>
    <t>12 Step Fellowship</t>
  </si>
  <si>
    <t>Funerals</t>
  </si>
  <si>
    <t>Parking Donation</t>
  </si>
  <si>
    <t>Restricted Donation</t>
  </si>
  <si>
    <t>Space Rental Donation</t>
  </si>
  <si>
    <t>Unspecified Donation</t>
  </si>
  <si>
    <t>Wedding</t>
  </si>
  <si>
    <t>Church School Registration</t>
  </si>
  <si>
    <t>Confirmation Registration</t>
  </si>
  <si>
    <t>Funeral</t>
  </si>
  <si>
    <t>Weddings</t>
  </si>
  <si>
    <t>Youth Choir Rgistration</t>
  </si>
  <si>
    <t>Church Fair/Auction</t>
  </si>
  <si>
    <t>Mardi Gras</t>
  </si>
  <si>
    <t>Music Fundraising Concerts</t>
  </si>
  <si>
    <t>Total Income Budgeted</t>
  </si>
  <si>
    <t>Other - Fundraising</t>
  </si>
  <si>
    <t>Investment Income Endowment</t>
  </si>
  <si>
    <t>Investment interest</t>
  </si>
  <si>
    <t>Restricted Income</t>
  </si>
  <si>
    <t>TOTAL INCOME</t>
  </si>
  <si>
    <t>Bank &amp; Service Charges</t>
  </si>
  <si>
    <t>Bookkeeping Services</t>
  </si>
  <si>
    <t>Contract Services</t>
  </si>
  <si>
    <t>Misc. (web, email, Pwrchurch)</t>
  </si>
  <si>
    <t>IT (Techevolution)</t>
  </si>
  <si>
    <t>Safe &amp; Temperature Alarm</t>
  </si>
  <si>
    <t>Total Contract Services</t>
  </si>
  <si>
    <t>Expression of Appreciation</t>
  </si>
  <si>
    <t>Financial Secretary</t>
  </si>
  <si>
    <t>Insurance</t>
  </si>
  <si>
    <t>Property Insurance</t>
  </si>
  <si>
    <t>Workers' Comp Insurance</t>
  </si>
  <si>
    <t>Total Insurance</t>
  </si>
  <si>
    <t>Licenses, Taxes &amp; Penalties</t>
  </si>
  <si>
    <t>Admin Exp. -- Other</t>
  </si>
  <si>
    <t>Staff Appreciation Expense</t>
  </si>
  <si>
    <t>TOTAL ADMIN EXPENSE</t>
  </si>
  <si>
    <t>Adult Ed</t>
  </si>
  <si>
    <t>CE Supply &amp; Expenses</t>
  </si>
  <si>
    <t>Church School Outreach Expenses</t>
  </si>
  <si>
    <t>Nursery Room Attendant</t>
  </si>
  <si>
    <t>Salary Dir. Children Ministries</t>
  </si>
  <si>
    <t>TOTAL CHURCH SCHOOL</t>
  </si>
  <si>
    <t>Family Care &amp; Support</t>
  </si>
  <si>
    <t>Flower Committee</t>
  </si>
  <si>
    <t>UCC Conference Dues</t>
  </si>
  <si>
    <t>Worship Related Expenses</t>
  </si>
  <si>
    <t>Materials (candles, etc.)</t>
  </si>
  <si>
    <t>Livestream fees</t>
  </si>
  <si>
    <t>TOTAL DEACONS</t>
  </si>
  <si>
    <t>Total Expenses Budgeted</t>
  </si>
  <si>
    <t>TOTAL FUNDRAISING</t>
  </si>
  <si>
    <t>Payroll Expesnes</t>
  </si>
  <si>
    <t>MA PFML Tax</t>
  </si>
  <si>
    <t>FICA/Medicare expense</t>
  </si>
  <si>
    <t>Memebership Expenses)</t>
  </si>
  <si>
    <t>Consultants</t>
  </si>
  <si>
    <t>Designated Term Pastor</t>
  </si>
  <si>
    <t>Salary</t>
  </si>
  <si>
    <t>UCC Pension and Benefits</t>
  </si>
  <si>
    <t>Pension</t>
  </si>
  <si>
    <t>Life &amp; Disability Ins</t>
  </si>
  <si>
    <t>Total UCC Pension and Benefits</t>
  </si>
  <si>
    <t>Professional Expenses</t>
  </si>
  <si>
    <t>Employer's Share of SECA</t>
  </si>
  <si>
    <t>Total Designated Term Pastor</t>
  </si>
  <si>
    <t>Minister of Community Life</t>
  </si>
  <si>
    <t>Salary and Housing</t>
  </si>
  <si>
    <t>Employers Share of SECA</t>
  </si>
  <si>
    <t>UCC Pension &amp; Benefits</t>
  </si>
  <si>
    <t>Life &amp; Disability Ins.</t>
  </si>
  <si>
    <t>Total UCC Pension &amp; Benefits</t>
  </si>
  <si>
    <t>Total Minister of Community Life</t>
  </si>
  <si>
    <t>Minister of Music</t>
  </si>
  <si>
    <t>Dental</t>
  </si>
  <si>
    <t>Healthcare</t>
  </si>
  <si>
    <t>Total Minister of Music</t>
  </si>
  <si>
    <t>Senior Minister</t>
  </si>
  <si>
    <t>Health Care/vision</t>
  </si>
  <si>
    <t>Total Senior Minister</t>
  </si>
  <si>
    <t>Guest Ministers</t>
  </si>
  <si>
    <t>TOTAL MINISTERIAL SUPPORT</t>
  </si>
  <si>
    <t>Bell Choir Leader</t>
  </si>
  <si>
    <t>Equipment Maintenance</t>
  </si>
  <si>
    <t>Professional Musician Fees</t>
  </si>
  <si>
    <t>Supplies</t>
  </si>
  <si>
    <t>Youth Choir Leader</t>
  </si>
  <si>
    <t>Youth Pianist</t>
  </si>
  <si>
    <t>TOTAL MUSIC (WORSHIP)</t>
  </si>
  <si>
    <t>Misc.</t>
  </si>
  <si>
    <t>Secretarial</t>
  </si>
  <si>
    <t>Secretarial Salaries</t>
  </si>
  <si>
    <t>Total Secretarial</t>
  </si>
  <si>
    <t>Office Rentals &amp; Leases</t>
  </si>
  <si>
    <t>Office Supplies</t>
  </si>
  <si>
    <t>Postage</t>
  </si>
  <si>
    <t>Telecommunications</t>
  </si>
  <si>
    <t>TOTAL OFFICE EXPENSES</t>
  </si>
  <si>
    <t>Building Supplies</t>
  </si>
  <si>
    <t>Contract Services for Property</t>
  </si>
  <si>
    <t>Fire Alarms</t>
  </si>
  <si>
    <t>Cleaning</t>
  </si>
  <si>
    <t>Plumbing</t>
  </si>
  <si>
    <t>Elevator Maint.</t>
  </si>
  <si>
    <t>Contract Services for Property - Other</t>
  </si>
  <si>
    <t>Total Contract Services for Property</t>
  </si>
  <si>
    <t>Electricity</t>
  </si>
  <si>
    <t>Gas</t>
  </si>
  <si>
    <t>Groundskeeping</t>
  </si>
  <si>
    <t>Memorial Garden</t>
  </si>
  <si>
    <t>Property</t>
  </si>
  <si>
    <t>Snow Plowing</t>
  </si>
  <si>
    <t>Total Groundskeeping</t>
  </si>
  <si>
    <t>Maintenance - large projects</t>
  </si>
  <si>
    <t>Maintenance - small projects</t>
  </si>
  <si>
    <t>Maintenance Sexton</t>
  </si>
  <si>
    <t>Sewer &amp; Water</t>
  </si>
  <si>
    <t>Sunday Sexton</t>
  </si>
  <si>
    <t>TOTAL PROPERTY UPKEEP</t>
  </si>
  <si>
    <t>RESTRICTED EXPENSE</t>
  </si>
  <si>
    <t>Stewardship Expenses</t>
  </si>
  <si>
    <t>TOTAL STEWARDSHIP</t>
  </si>
  <si>
    <t>Spring &amp; Overnight (Trip Support)</t>
  </si>
  <si>
    <t>Marblehead Youth Coop Min.</t>
  </si>
  <si>
    <t>Youth Fellowship Expense</t>
  </si>
  <si>
    <t>Misc. Expense</t>
  </si>
  <si>
    <t xml:space="preserve"> </t>
  </si>
  <si>
    <t>2022 Actual</t>
  </si>
  <si>
    <t>\</t>
  </si>
  <si>
    <t>Life Insurance</t>
  </si>
  <si>
    <t>TOTAL EXPENSES</t>
  </si>
  <si>
    <t>Surplus/Deficit</t>
  </si>
  <si>
    <t>Church School Teachers</t>
  </si>
  <si>
    <t>Community Life</t>
  </si>
  <si>
    <t>Eq. Maint. General</t>
  </si>
  <si>
    <t>Special Organ Cleaning</t>
  </si>
  <si>
    <t>Restoration of Bells</t>
  </si>
  <si>
    <t>Easter Breakfast</t>
  </si>
  <si>
    <t>As of Dec 31</t>
  </si>
  <si>
    <t>Outreach Previous Year Makeup</t>
  </si>
  <si>
    <t>Health Care</t>
  </si>
  <si>
    <t>Life &amp; Disabity</t>
  </si>
  <si>
    <t>Pool of 2.5% except Lindsay and Christine plus $3000 for possible merit</t>
  </si>
  <si>
    <t xml:space="preserve">Est. Pledges Receivable Paid Late </t>
  </si>
  <si>
    <t>COMMUNNITY LIFE</t>
  </si>
  <si>
    <t>Total Worwhip Related Espenses</t>
  </si>
  <si>
    <t>Housing</t>
  </si>
  <si>
    <t>Festival Chorus Contribution</t>
  </si>
  <si>
    <t>Outreach to Conference</t>
  </si>
  <si>
    <t>OMB Current Year</t>
  </si>
  <si>
    <t>Pay Raises</t>
  </si>
  <si>
    <t>Merit Pool at 5%</t>
  </si>
  <si>
    <t>TOTAL</t>
  </si>
  <si>
    <t>2025 Actuals</t>
  </si>
  <si>
    <t>Approved</t>
  </si>
  <si>
    <t>Pledges -- Other</t>
  </si>
  <si>
    <t>TOTAL CONTRIBUTIONS</t>
  </si>
  <si>
    <t>DEACONS -- WORSHIP</t>
  </si>
  <si>
    <t>Hospitality Expense</t>
  </si>
  <si>
    <t>Deacons Other</t>
  </si>
  <si>
    <t>FUNDRAISING -- Exp.</t>
  </si>
  <si>
    <t>As of Dec. 31</t>
  </si>
  <si>
    <t>2026 Budget</t>
  </si>
  <si>
    <t>Proposed</t>
  </si>
  <si>
    <t>Old North Church Budget Development Spreadsheet 1/28/2026)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</si>
</sst>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#,##0.00;\-#,##0.00"/>
    <numFmt numFmtId="165" formatCode="#,##0.0#%;\-#,##0.0#%"/>
    <numFmt numFmtId="166" formatCode="&quot;$&quot;#,##0.00"/>
  </numFmts>
  <fonts count="15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family val="2"/>
    </font>
    <font>
      <sz val="12"/>
      <color rgb="FFFF0000"/>
      <name val="Aptos Narrow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ptos Narrow"/>
      <scheme val="minor"/>
    </font>
    <font>
      <sz val="8"/>
      <color theme="1"/>
      <name val="Arial"/>
      <family val="2"/>
    </font>
    <font>
      <sz val="11"/>
      <color theme="1"/>
      <name val="Aptos Narrow"/>
      <scheme val="minor"/>
    </font>
    <font>
      <sz val="10"/>
      <color theme="1"/>
      <name val="Arial"/>
      <family val="2"/>
    </font>
    <font>
      <b/>
      <sz val="10"/>
      <color theme="1"/>
      <name val="Aptos Narrow"/>
      <scheme val="minor"/>
    </font>
    <font>
      <sz val="10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FF0000"/>
      <name val="Aptos Narrow"/>
      <scheme val="minor"/>
    </font>
    <font>
      <sz val="10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4" fontId="1" fillId="0" borderId="0" xfId="0" applyNumberFormat="1" applyFont="1"/>
    <xf numFmtId="0" fontId="3" fillId="0" borderId="0" xfId="0" applyFont="1"/>
    <xf numFmtId="166" fontId="3" fillId="0" borderId="0" xfId="0" applyNumberFormat="1" applyFont="1"/>
    <xf numFmtId="7" fontId="3" fillId="0" borderId="0" xfId="0" applyNumberFormat="1" applyFont="1"/>
    <xf numFmtId="7" fontId="3" fillId="2" borderId="0" xfId="0" applyNumberFormat="1" applyFont="1" applyFill="1"/>
    <xf numFmtId="166" fontId="3" fillId="0" borderId="3" xfId="0" applyNumberFormat="1" applyFont="1" applyBorder="1"/>
    <xf numFmtId="7" fontId="3" fillId="0" borderId="3" xfId="0" applyNumberFormat="1" applyFont="1" applyBorder="1"/>
    <xf numFmtId="166" fontId="3" fillId="0" borderId="1" xfId="0" applyNumberFormat="1" applyFont="1" applyBorder="1"/>
    <xf numFmtId="7" fontId="3" fillId="0" borderId="1" xfId="0" applyNumberFormat="1" applyFont="1" applyBorder="1"/>
    <xf numFmtId="7" fontId="3" fillId="2" borderId="1" xfId="0" applyNumberFormat="1" applyFont="1" applyFill="1" applyBorder="1"/>
    <xf numFmtId="39" fontId="0" fillId="0" borderId="0" xfId="0" applyNumberFormat="1"/>
    <xf numFmtId="7" fontId="4" fillId="0" borderId="0" xfId="0" applyNumberFormat="1" applyFont="1"/>
    <xf numFmtId="49" fontId="5" fillId="0" borderId="0" xfId="0" applyNumberFormat="1" applyFont="1"/>
    <xf numFmtId="0" fontId="6" fillId="0" borderId="0" xfId="0" applyFont="1"/>
    <xf numFmtId="49" fontId="0" fillId="0" borderId="0" xfId="0" applyNumberFormat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64" fontId="7" fillId="0" borderId="0" xfId="0" applyNumberFormat="1" applyFont="1"/>
    <xf numFmtId="49" fontId="7" fillId="0" borderId="0" xfId="0" applyNumberFormat="1" applyFont="1"/>
    <xf numFmtId="165" fontId="7" fillId="0" borderId="0" xfId="0" applyNumberFormat="1" applyFont="1"/>
    <xf numFmtId="7" fontId="0" fillId="0" borderId="0" xfId="0" applyNumberFormat="1"/>
    <xf numFmtId="7" fontId="0" fillId="2" borderId="0" xfId="0" applyNumberFormat="1" applyFill="1"/>
    <xf numFmtId="166" fontId="0" fillId="0" borderId="0" xfId="0" applyNumberFormat="1"/>
    <xf numFmtId="164" fontId="7" fillId="0" borderId="3" xfId="0" applyNumberFormat="1" applyFont="1" applyBorder="1"/>
    <xf numFmtId="165" fontId="7" fillId="0" borderId="3" xfId="0" applyNumberFormat="1" applyFont="1" applyBorder="1"/>
    <xf numFmtId="164" fontId="7" fillId="0" borderId="1" xfId="0" applyNumberFormat="1" applyFont="1" applyBorder="1"/>
    <xf numFmtId="49" fontId="7" fillId="0" borderId="1" xfId="0" applyNumberFormat="1" applyFont="1" applyBorder="1"/>
    <xf numFmtId="166" fontId="0" fillId="0" borderId="1" xfId="0" applyNumberFormat="1" applyBorder="1"/>
    <xf numFmtId="7" fontId="0" fillId="0" borderId="1" xfId="0" applyNumberFormat="1" applyBorder="1"/>
    <xf numFmtId="7" fontId="0" fillId="2" borderId="1" xfId="0" applyNumberFormat="1" applyFill="1" applyBorder="1"/>
    <xf numFmtId="39" fontId="0" fillId="0" borderId="1" xfId="0" applyNumberFormat="1" applyBorder="1"/>
    <xf numFmtId="164" fontId="7" fillId="0" borderId="4" xfId="0" applyNumberFormat="1" applyFont="1" applyBorder="1"/>
    <xf numFmtId="0" fontId="5" fillId="0" borderId="0" xfId="0" applyFont="1"/>
    <xf numFmtId="166" fontId="8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165" fontId="3" fillId="0" borderId="0" xfId="0" applyNumberFormat="1" applyFont="1"/>
    <xf numFmtId="164" fontId="3" fillId="0" borderId="3" xfId="0" applyNumberFormat="1" applyFont="1" applyBorder="1"/>
    <xf numFmtId="165" fontId="3" fillId="0" borderId="3" xfId="0" applyNumberFormat="1" applyFont="1" applyBorder="1"/>
    <xf numFmtId="165" fontId="7" fillId="0" borderId="4" xfId="0" applyNumberFormat="1" applyFont="1" applyBorder="1"/>
    <xf numFmtId="7" fontId="0" fillId="0" borderId="2" xfId="0" applyNumberFormat="1" applyBorder="1"/>
    <xf numFmtId="7" fontId="0" fillId="2" borderId="2" xfId="0" applyNumberFormat="1" applyFill="1" applyBorder="1"/>
    <xf numFmtId="165" fontId="7" fillId="0" borderId="1" xfId="0" applyNumberFormat="1" applyFont="1" applyBorder="1"/>
    <xf numFmtId="0" fontId="0" fillId="0" borderId="1" xfId="0" applyBorder="1"/>
    <xf numFmtId="7" fontId="9" fillId="0" borderId="0" xfId="0" applyNumberFormat="1" applyFont="1"/>
    <xf numFmtId="7" fontId="9" fillId="2" borderId="0" xfId="0" applyNumberFormat="1" applyFont="1" applyFill="1"/>
    <xf numFmtId="49" fontId="7" fillId="0" borderId="3" xfId="0" applyNumberFormat="1" applyFont="1" applyBorder="1"/>
    <xf numFmtId="0" fontId="0" fillId="0" borderId="3" xfId="0" applyBorder="1"/>
    <xf numFmtId="166" fontId="0" fillId="0" borderId="3" xfId="0" applyNumberFormat="1" applyBorder="1"/>
    <xf numFmtId="7" fontId="0" fillId="0" borderId="3" xfId="0" applyNumberFormat="1" applyBorder="1"/>
    <xf numFmtId="7" fontId="0" fillId="2" borderId="3" xfId="0" applyNumberFormat="1" applyFill="1" applyBorder="1"/>
    <xf numFmtId="4" fontId="0" fillId="2" borderId="0" xfId="0" applyNumberFormat="1" applyFill="1"/>
    <xf numFmtId="7" fontId="0" fillId="0" borderId="6" xfId="0" applyNumberFormat="1" applyBorder="1"/>
    <xf numFmtId="164" fontId="7" fillId="0" borderId="5" xfId="0" applyNumberFormat="1" applyFont="1" applyBorder="1"/>
    <xf numFmtId="165" fontId="7" fillId="0" borderId="5" xfId="0" applyNumberFormat="1" applyFont="1" applyBorder="1"/>
    <xf numFmtId="166" fontId="0" fillId="2" borderId="0" xfId="0" applyNumberFormat="1" applyFill="1"/>
    <xf numFmtId="7" fontId="0" fillId="2" borderId="6" xfId="0" applyNumberFormat="1" applyFill="1" applyBorder="1"/>
    <xf numFmtId="166" fontId="11" fillId="0" borderId="0" xfId="0" applyNumberFormat="1" applyFont="1"/>
    <xf numFmtId="166" fontId="10" fillId="0" borderId="0" xfId="0" applyNumberFormat="1" applyFont="1"/>
    <xf numFmtId="166" fontId="11" fillId="0" borderId="1" xfId="0" applyNumberFormat="1" applyFont="1" applyBorder="1"/>
    <xf numFmtId="166" fontId="0" fillId="2" borderId="6" xfId="0" applyNumberFormat="1" applyFill="1" applyBorder="1"/>
    <xf numFmtId="166" fontId="3" fillId="0" borderId="6" xfId="0" applyNumberFormat="1" applyFont="1" applyBorder="1"/>
    <xf numFmtId="166" fontId="0" fillId="2" borderId="1" xfId="0" applyNumberFormat="1" applyFill="1" applyBorder="1"/>
    <xf numFmtId="166" fontId="9" fillId="2" borderId="6" xfId="0" applyNumberFormat="1" applyFont="1" applyFill="1" applyBorder="1"/>
    <xf numFmtId="166" fontId="11" fillId="0" borderId="6" xfId="0" applyNumberFormat="1" applyFont="1" applyBorder="1"/>
    <xf numFmtId="166" fontId="0" fillId="2" borderId="2" xfId="0" applyNumberFormat="1" applyFill="1" applyBorder="1"/>
    <xf numFmtId="166" fontId="9" fillId="2" borderId="0" xfId="0" applyNumberFormat="1" applyFont="1" applyFill="1"/>
    <xf numFmtId="10" fontId="0" fillId="0" borderId="0" xfId="0" applyNumberFormat="1"/>
    <xf numFmtId="166" fontId="0" fillId="0" borderId="6" xfId="0" applyNumberFormat="1" applyBorder="1"/>
    <xf numFmtId="164" fontId="8" fillId="0" borderId="6" xfId="0" applyNumberFormat="1" applyFont="1" applyBorder="1"/>
    <xf numFmtId="39" fontId="0" fillId="0" borderId="6" xfId="0" applyNumberFormat="1" applyBorder="1"/>
    <xf numFmtId="166" fontId="8" fillId="0" borderId="6" xfId="0" applyNumberFormat="1" applyFont="1" applyBorder="1"/>
    <xf numFmtId="7" fontId="8" fillId="0" borderId="6" xfId="0" applyNumberFormat="1" applyFont="1" applyBorder="1"/>
    <xf numFmtId="0" fontId="0" fillId="0" borderId="6" xfId="0" applyBorder="1"/>
    <xf numFmtId="166" fontId="12" fillId="0" borderId="0" xfId="0" applyNumberFormat="1" applyFont="1"/>
    <xf numFmtId="166" fontId="12" fillId="0" borderId="1" xfId="0" applyNumberFormat="1" applyFont="1" applyBorder="1"/>
    <xf numFmtId="4" fontId="0" fillId="0" borderId="0" xfId="0" applyNumberFormat="1"/>
    <xf numFmtId="166" fontId="6" fillId="0" borderId="0" xfId="0" applyNumberFormat="1" applyFont="1" applyAlignment="1">
      <alignment horizontal="center"/>
    </xf>
    <xf numFmtId="7" fontId="13" fillId="2" borderId="0" xfId="0" applyNumberFormat="1" applyFont="1" applyFill="1"/>
    <xf numFmtId="39" fontId="13" fillId="0" borderId="0" xfId="0" applyNumberFormat="1" applyFont="1"/>
    <xf numFmtId="166" fontId="14" fillId="0" borderId="0" xfId="0" applyNumberFormat="1" applyFont="1"/>
    <xf numFmtId="166" fontId="13" fillId="0" borderId="0" xfId="0" applyNumberFormat="1" applyFont="1"/>
    <xf numFmtId="7" fontId="12" fillId="2" borderId="0" xfId="0" applyNumberFormat="1" applyFont="1" applyFill="1"/>
    <xf numFmtId="39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3B145-B35B-D546-905C-3BDC3D77F263}">
  <sheetPr>
    <pageSetUpPr fitToPage="1"/>
  </sheetPr>
  <dimension ref="A1:AC260"/>
  <sheetViews>
    <sheetView tabSelected="1" zoomScale="132" zoomScaleNormal="132" workbookViewId="0"/>
  </sheetViews>
  <sheetFormatPr defaultColWidth="11.19921875" defaultRowHeight="15.6" x14ac:dyDescent="0.3"/>
  <cols>
    <col min="1" max="1" width="6.19921875" customWidth="1"/>
    <col min="2" max="2" width="24.296875" customWidth="1"/>
    <col min="3" max="3" width="0" hidden="1" customWidth="1"/>
    <col min="4" max="4" width="0.69921875" hidden="1" customWidth="1"/>
    <col min="5" max="5" width="2" hidden="1" customWidth="1"/>
    <col min="6" max="7" width="0.19921875" hidden="1" customWidth="1"/>
    <col min="8" max="9" width="10.796875" hidden="1" customWidth="1"/>
    <col min="10" max="10" width="3.296875" customWidth="1"/>
    <col min="11" max="11" width="0.19921875" customWidth="1"/>
    <col min="12" max="12" width="2.69921875" hidden="1" customWidth="1"/>
    <col min="13" max="14" width="10.796875" hidden="1" customWidth="1"/>
    <col min="15" max="15" width="0.296875" customWidth="1"/>
    <col min="16" max="16" width="0.796875" customWidth="1"/>
    <col min="17" max="17" width="0.19921875" customWidth="1"/>
    <col min="18" max="18" width="0.5" customWidth="1"/>
    <col min="19" max="19" width="13.19921875" customWidth="1"/>
    <col min="20" max="20" width="13.296875" customWidth="1"/>
    <col min="21" max="21" width="5.296875" customWidth="1"/>
    <col min="22" max="22" width="11.796875" style="67" customWidth="1"/>
    <col min="23" max="23" width="11.796875" bestFit="1" customWidth="1"/>
    <col min="25" max="25" width="12.796875" style="32" customWidth="1"/>
    <col min="27" max="29" width="0" hidden="1" customWidth="1"/>
  </cols>
  <sheetData>
    <row r="1" spans="1:26" x14ac:dyDescent="0.3">
      <c r="A1" s="19" t="s">
        <v>186</v>
      </c>
    </row>
    <row r="3" spans="1:26" ht="16.2" thickBot="1" x14ac:dyDescent="0.35">
      <c r="A3" s="18"/>
      <c r="B3" s="18"/>
      <c r="C3" s="18"/>
      <c r="D3" s="20"/>
      <c r="E3" s="21"/>
      <c r="F3" s="20"/>
      <c r="G3" s="20"/>
      <c r="H3" s="20"/>
      <c r="I3" s="20"/>
      <c r="J3" s="21"/>
      <c r="K3" s="20"/>
      <c r="L3" s="21"/>
      <c r="M3" s="20"/>
      <c r="Q3" s="22"/>
      <c r="R3" s="22"/>
      <c r="S3" s="1" t="s">
        <v>0</v>
      </c>
      <c r="T3" s="23"/>
      <c r="U3" s="2"/>
      <c r="V3" s="68" t="s">
        <v>175</v>
      </c>
      <c r="W3" s="3" t="s">
        <v>176</v>
      </c>
      <c r="Y3" s="87" t="s">
        <v>185</v>
      </c>
    </row>
    <row r="4" spans="1:26" ht="16.8" thickTop="1" thickBot="1" x14ac:dyDescent="0.35">
      <c r="A4" s="24"/>
      <c r="B4" s="24"/>
      <c r="C4" s="24"/>
      <c r="D4" s="25" t="s">
        <v>1</v>
      </c>
      <c r="E4" s="26"/>
      <c r="F4" s="26"/>
      <c r="G4" s="25"/>
      <c r="H4" s="25"/>
      <c r="I4" s="25" t="s">
        <v>149</v>
      </c>
      <c r="J4" s="26"/>
      <c r="K4" s="25"/>
      <c r="L4" s="26"/>
      <c r="M4" s="25" t="s">
        <v>2</v>
      </c>
      <c r="N4" s="22"/>
      <c r="O4" s="22"/>
      <c r="P4" s="3"/>
      <c r="Q4" s="1"/>
      <c r="R4" s="1"/>
      <c r="S4" s="4" t="s">
        <v>160</v>
      </c>
      <c r="T4" s="5" t="s">
        <v>3</v>
      </c>
      <c r="U4" s="6"/>
      <c r="V4" s="68" t="s">
        <v>183</v>
      </c>
      <c r="W4" s="3" t="s">
        <v>4</v>
      </c>
      <c r="Y4" s="87" t="s">
        <v>184</v>
      </c>
    </row>
    <row r="5" spans="1:26" ht="19.05" customHeight="1" thickTop="1" x14ac:dyDescent="0.3">
      <c r="A5" s="18"/>
      <c r="B5" s="18"/>
      <c r="C5" s="18"/>
      <c r="D5" s="27"/>
      <c r="E5" s="28"/>
      <c r="F5" s="28"/>
      <c r="G5" s="27"/>
      <c r="H5" s="27"/>
      <c r="I5" s="27"/>
      <c r="J5" s="28"/>
      <c r="K5" s="27"/>
      <c r="L5" s="28"/>
      <c r="M5" s="29"/>
      <c r="Q5" s="30"/>
      <c r="R5" s="30"/>
      <c r="S5" s="30"/>
      <c r="T5" s="31"/>
      <c r="U5" s="16"/>
      <c r="W5" s="30"/>
    </row>
    <row r="6" spans="1:26" x14ac:dyDescent="0.3">
      <c r="A6" s="18"/>
      <c r="B6" s="18"/>
      <c r="C6" s="18"/>
      <c r="D6" s="27"/>
      <c r="E6" s="28"/>
      <c r="F6" s="28"/>
      <c r="G6" s="27"/>
      <c r="H6" s="27"/>
      <c r="I6" s="27"/>
      <c r="J6" s="28"/>
      <c r="K6" s="27"/>
      <c r="L6" s="28"/>
      <c r="M6" s="29"/>
      <c r="Q6" s="30"/>
      <c r="R6" s="30"/>
      <c r="S6" s="30"/>
      <c r="T6" s="31"/>
      <c r="U6" s="16"/>
      <c r="W6" s="30"/>
    </row>
    <row r="7" spans="1:26" x14ac:dyDescent="0.3">
      <c r="A7" s="18" t="s">
        <v>5</v>
      </c>
      <c r="B7" s="18"/>
      <c r="C7" s="18"/>
      <c r="D7" s="27"/>
      <c r="E7" s="28"/>
      <c r="F7" s="28"/>
      <c r="G7" s="27"/>
      <c r="H7" s="27"/>
      <c r="I7" s="27"/>
      <c r="J7" s="28"/>
      <c r="K7" s="27"/>
      <c r="L7" s="28"/>
      <c r="M7" s="29"/>
      <c r="Q7" s="30"/>
      <c r="R7" s="30"/>
      <c r="S7" s="30"/>
      <c r="T7" s="31"/>
      <c r="U7" s="16"/>
      <c r="W7" s="30"/>
      <c r="Z7" s="86"/>
    </row>
    <row r="8" spans="1:26" x14ac:dyDescent="0.3">
      <c r="A8" s="18"/>
      <c r="B8" s="18" t="s">
        <v>6</v>
      </c>
      <c r="C8" s="18"/>
      <c r="D8" s="27"/>
      <c r="E8" s="28"/>
      <c r="F8" s="28"/>
      <c r="G8" s="27"/>
      <c r="H8" s="27"/>
      <c r="I8" s="27">
        <v>5250</v>
      </c>
      <c r="J8" s="28"/>
      <c r="K8" s="27"/>
      <c r="L8" s="28"/>
      <c r="M8" s="29"/>
      <c r="P8" s="32">
        <v>44481.72</v>
      </c>
      <c r="Q8" s="30"/>
      <c r="R8" s="30"/>
      <c r="S8" s="30">
        <v>44326.720000000001</v>
      </c>
      <c r="T8" s="31">
        <v>44496.72</v>
      </c>
      <c r="U8" s="16"/>
      <c r="V8" s="84">
        <v>70719.990000000005</v>
      </c>
      <c r="W8" s="30"/>
      <c r="Z8" s="86"/>
    </row>
    <row r="9" spans="1:26" x14ac:dyDescent="0.3">
      <c r="A9" s="18"/>
      <c r="B9" s="18" t="s">
        <v>7</v>
      </c>
      <c r="C9" s="18"/>
      <c r="D9" s="27">
        <v>471599.94</v>
      </c>
      <c r="E9" s="28"/>
      <c r="F9" s="28"/>
      <c r="G9" s="27">
        <v>475000</v>
      </c>
      <c r="H9" s="27"/>
      <c r="I9" s="27">
        <v>425640.74</v>
      </c>
      <c r="J9" s="28"/>
      <c r="K9" s="27">
        <v>450000</v>
      </c>
      <c r="L9" s="28"/>
      <c r="M9" s="29">
        <f>ROUND(IF(K9=0, IF(I9=0, 0, 1), I9/K9),5)</f>
        <v>0.94586999999999999</v>
      </c>
      <c r="P9" s="32">
        <v>372028.18</v>
      </c>
      <c r="Q9" s="30">
        <v>420000</v>
      </c>
      <c r="R9" s="30"/>
      <c r="S9" s="30">
        <v>386882.05</v>
      </c>
      <c r="T9" s="31">
        <v>390500</v>
      </c>
      <c r="U9" s="16"/>
      <c r="V9" s="84">
        <v>417201.16</v>
      </c>
      <c r="W9" s="17">
        <v>475000</v>
      </c>
      <c r="Y9" s="32">
        <v>520000</v>
      </c>
      <c r="Z9" s="86"/>
    </row>
    <row r="10" spans="1:26" ht="16.2" thickBot="1" x14ac:dyDescent="0.35">
      <c r="A10" s="18"/>
      <c r="B10" s="18" t="s">
        <v>8</v>
      </c>
      <c r="C10" s="18"/>
      <c r="D10" s="33">
        <v>11543</v>
      </c>
      <c r="E10" s="28"/>
      <c r="F10" s="28"/>
      <c r="G10" s="33">
        <v>9000</v>
      </c>
      <c r="H10" s="27"/>
      <c r="I10" s="27">
        <v>5735</v>
      </c>
      <c r="J10" s="28"/>
      <c r="K10" s="27">
        <v>15000</v>
      </c>
      <c r="L10" s="28"/>
      <c r="M10" s="34">
        <f>ROUND(IF(K10=0, IF(I10=0, 0, 1), I10/K10),5)</f>
        <v>0.38233</v>
      </c>
      <c r="P10" s="32">
        <v>14044.35</v>
      </c>
      <c r="Q10" s="30">
        <v>6000</v>
      </c>
      <c r="R10" s="30"/>
      <c r="S10" s="30">
        <v>7092.19</v>
      </c>
      <c r="T10" s="31">
        <v>15500</v>
      </c>
      <c r="U10" s="16"/>
      <c r="V10" s="84">
        <v>-820</v>
      </c>
      <c r="W10" s="30"/>
      <c r="Z10" s="86"/>
    </row>
    <row r="11" spans="1:26" x14ac:dyDescent="0.3">
      <c r="A11" s="18"/>
      <c r="B11" s="18" t="s">
        <v>165</v>
      </c>
      <c r="C11" s="18"/>
      <c r="D11" s="27"/>
      <c r="E11" s="28"/>
      <c r="F11" s="28"/>
      <c r="G11" s="27"/>
      <c r="H11" s="27"/>
      <c r="I11" s="27"/>
      <c r="J11" s="28"/>
      <c r="K11" s="27"/>
      <c r="L11" s="28"/>
      <c r="M11" s="29"/>
      <c r="P11" s="32"/>
      <c r="Q11" s="30"/>
      <c r="R11" s="30"/>
      <c r="S11" s="30">
        <v>6000</v>
      </c>
      <c r="T11" s="31"/>
      <c r="U11" s="16"/>
      <c r="V11" s="84">
        <v>6000</v>
      </c>
      <c r="W11" s="30"/>
      <c r="Z11" s="86"/>
    </row>
    <row r="12" spans="1:26" ht="16.2" thickBot="1" x14ac:dyDescent="0.35">
      <c r="A12" s="18"/>
      <c r="B12" s="18" t="s">
        <v>177</v>
      </c>
      <c r="C12" s="18" t="s">
        <v>9</v>
      </c>
      <c r="D12" s="27"/>
      <c r="E12" s="28"/>
      <c r="F12" s="28"/>
      <c r="G12" s="27"/>
      <c r="H12" s="27"/>
      <c r="I12" s="35"/>
      <c r="J12" s="36"/>
      <c r="K12" s="35"/>
      <c r="L12" s="28"/>
      <c r="M12" s="29"/>
      <c r="P12" s="37">
        <v>1783.92</v>
      </c>
      <c r="Q12" s="38"/>
      <c r="R12" s="38"/>
      <c r="S12" s="38"/>
      <c r="T12" s="39"/>
      <c r="U12" s="40"/>
      <c r="V12" s="85"/>
      <c r="W12" s="38"/>
      <c r="Z12" s="86"/>
    </row>
    <row r="13" spans="1:26" ht="16.2" thickTop="1" x14ac:dyDescent="0.3">
      <c r="A13" s="18" t="s">
        <v>10</v>
      </c>
      <c r="B13" s="18"/>
      <c r="C13" s="18"/>
      <c r="D13" s="27">
        <f>ROUND(SUM(D8:D10),5)</f>
        <v>483142.94</v>
      </c>
      <c r="E13" s="28"/>
      <c r="F13" s="28"/>
      <c r="G13" s="27">
        <f>ROUND(SUM(G8:G10),5)</f>
        <v>484000</v>
      </c>
      <c r="H13" s="27"/>
      <c r="I13" s="27">
        <f>ROUND(SUM(I7:I10),5)</f>
        <v>436625.74</v>
      </c>
      <c r="J13" s="28"/>
      <c r="K13" s="27">
        <f>ROUND(SUM(K7:K10),5)</f>
        <v>465000</v>
      </c>
      <c r="L13" s="28"/>
      <c r="M13" s="29">
        <f>ROUND(IF(K13=0, IF(I13=0, 0, 1), I13/K13),5)</f>
        <v>0.93898000000000004</v>
      </c>
      <c r="P13" s="32">
        <f>+P10+P9+P8+P12</f>
        <v>432338.17</v>
      </c>
      <c r="Q13" s="30">
        <f>+Q10+Q9</f>
        <v>426000</v>
      </c>
      <c r="R13" s="30"/>
      <c r="S13" s="31">
        <f>SUM(S8:S12)</f>
        <v>444300.96</v>
      </c>
      <c r="T13" s="31">
        <f>SUM(T8:T12)</f>
        <v>450496.72</v>
      </c>
      <c r="U13" s="16"/>
      <c r="V13" s="65">
        <f>SUM(V8:V12)</f>
        <v>493101.14999999997</v>
      </c>
      <c r="W13" s="31">
        <f>SUM(W8:W12)</f>
        <v>475000</v>
      </c>
      <c r="Y13" s="70">
        <f>SUM(Y8:Y12)</f>
        <v>520000</v>
      </c>
      <c r="Z13" s="86"/>
    </row>
    <row r="14" spans="1:26" x14ac:dyDescent="0.3">
      <c r="A14" s="18"/>
      <c r="B14" s="18"/>
      <c r="C14" s="18"/>
      <c r="D14" s="27"/>
      <c r="E14" s="28"/>
      <c r="F14" s="28"/>
      <c r="G14" s="27"/>
      <c r="H14" s="27"/>
      <c r="I14" s="27"/>
      <c r="J14" s="28"/>
      <c r="K14" s="27"/>
      <c r="L14" s="28"/>
      <c r="M14" s="29"/>
      <c r="P14" s="32"/>
      <c r="Q14" s="30"/>
      <c r="R14" s="30"/>
      <c r="S14" s="30"/>
      <c r="T14" s="31"/>
      <c r="U14" s="16"/>
      <c r="W14" s="30"/>
      <c r="Z14" s="86"/>
    </row>
    <row r="15" spans="1:26" x14ac:dyDescent="0.3">
      <c r="A15" s="18" t="s">
        <v>11</v>
      </c>
      <c r="B15" s="18"/>
      <c r="C15" s="18"/>
      <c r="D15" s="27"/>
      <c r="E15" s="28"/>
      <c r="F15" s="28"/>
      <c r="G15" s="27"/>
      <c r="H15" s="27"/>
      <c r="I15" s="27"/>
      <c r="J15" s="28"/>
      <c r="K15" s="27"/>
      <c r="L15" s="28"/>
      <c r="M15" s="29"/>
      <c r="P15" s="32"/>
      <c r="Q15" s="30"/>
      <c r="R15" s="30"/>
      <c r="S15" s="30"/>
      <c r="T15" s="31"/>
      <c r="U15" s="16"/>
      <c r="W15" s="30"/>
      <c r="Z15" s="86"/>
    </row>
    <row r="16" spans="1:26" x14ac:dyDescent="0.3">
      <c r="A16" s="18"/>
      <c r="B16" s="18" t="s">
        <v>12</v>
      </c>
      <c r="C16" s="18"/>
      <c r="D16" s="27">
        <v>9243</v>
      </c>
      <c r="E16" s="28"/>
      <c r="F16" s="28"/>
      <c r="G16" s="27">
        <v>10500</v>
      </c>
      <c r="H16" s="27"/>
      <c r="I16" s="27">
        <v>8177.27</v>
      </c>
      <c r="J16" s="28"/>
      <c r="K16" s="27">
        <v>3000</v>
      </c>
      <c r="L16" s="28"/>
      <c r="M16" s="29">
        <f>ROUND(IF(K16=0, IF(I16=0, 0, 1), I16/K16),5)</f>
        <v>2.7257600000000002</v>
      </c>
      <c r="P16" s="32">
        <v>11425.25</v>
      </c>
      <c r="Q16" s="30">
        <v>8000</v>
      </c>
      <c r="R16" s="30"/>
      <c r="S16" s="30">
        <v>12138.84</v>
      </c>
      <c r="T16" s="31">
        <v>13000</v>
      </c>
      <c r="U16" s="16"/>
      <c r="V16" s="84">
        <v>12269.65</v>
      </c>
      <c r="W16" s="30">
        <v>12000</v>
      </c>
      <c r="Y16" s="32">
        <v>12000</v>
      </c>
      <c r="Z16" s="86"/>
    </row>
    <row r="17" spans="1:26" ht="16.2" thickBot="1" x14ac:dyDescent="0.35">
      <c r="A17" s="18"/>
      <c r="B17" s="18" t="s">
        <v>13</v>
      </c>
      <c r="C17" s="18"/>
      <c r="D17" s="27">
        <v>16250.5</v>
      </c>
      <c r="E17" s="28"/>
      <c r="F17" s="28"/>
      <c r="G17" s="27">
        <v>9000</v>
      </c>
      <c r="H17" s="33"/>
      <c r="I17" s="33">
        <v>8900</v>
      </c>
      <c r="J17" s="28"/>
      <c r="K17" s="33">
        <v>7000</v>
      </c>
      <c r="L17" s="28"/>
      <c r="M17" s="34">
        <f>ROUND(IF(K17=0, IF(I17=0, 0, 1), I17/K17),5)</f>
        <v>1.2714300000000001</v>
      </c>
      <c r="P17" s="32">
        <f>9145.63+1570</f>
        <v>10715.63</v>
      </c>
      <c r="Q17" s="30">
        <v>9000</v>
      </c>
      <c r="R17" s="30"/>
      <c r="S17" s="30">
        <v>12975.75</v>
      </c>
      <c r="T17" s="31">
        <v>21500</v>
      </c>
      <c r="U17" s="16"/>
      <c r="V17" s="84">
        <v>17782.669999999998</v>
      </c>
      <c r="W17" s="30">
        <v>12000</v>
      </c>
      <c r="Y17" s="32">
        <v>15000</v>
      </c>
      <c r="Z17" s="86"/>
    </row>
    <row r="18" spans="1:26" ht="16.2" thickBot="1" x14ac:dyDescent="0.35">
      <c r="A18" s="18"/>
      <c r="B18" s="18"/>
      <c r="C18" s="18"/>
      <c r="D18" s="27"/>
      <c r="E18" s="28"/>
      <c r="F18" s="28"/>
      <c r="G18" s="27"/>
      <c r="H18" s="27"/>
      <c r="I18" s="27"/>
      <c r="J18" s="28"/>
      <c r="K18" s="27"/>
      <c r="L18" s="28"/>
      <c r="M18" s="29"/>
      <c r="P18" s="37"/>
      <c r="Q18" s="38"/>
      <c r="R18" s="38"/>
      <c r="S18" s="38"/>
      <c r="T18" s="39"/>
      <c r="U18" s="16"/>
      <c r="V18" s="84"/>
      <c r="W18" s="38"/>
      <c r="Z18" s="86"/>
    </row>
    <row r="19" spans="1:26" ht="16.8" thickTop="1" thickBot="1" x14ac:dyDescent="0.35">
      <c r="A19" s="18" t="s">
        <v>14</v>
      </c>
      <c r="B19" s="18"/>
      <c r="C19" s="18"/>
      <c r="D19" s="41">
        <f>ROUND(SUM(D15:D17),5)</f>
        <v>25493.5</v>
      </c>
      <c r="E19" s="28"/>
      <c r="F19" s="28"/>
      <c r="G19" s="41">
        <f>ROUND(SUM(G15:G17),5)</f>
        <v>19500</v>
      </c>
      <c r="H19" s="27"/>
      <c r="I19" s="27">
        <f>ROUND(SUM(I15:I17),5)</f>
        <v>17077.27</v>
      </c>
      <c r="J19" s="28"/>
      <c r="K19" s="27">
        <f>ROUND(SUM(K15:K17),5)</f>
        <v>10000</v>
      </c>
      <c r="L19" s="28"/>
      <c r="M19" s="29">
        <f>ROUND(IF(K19=0, IF(I19=0, 0, 1), I19/K19),5)</f>
        <v>1.70773</v>
      </c>
      <c r="P19" s="32">
        <f>+P16+P17</f>
        <v>22140.879999999997</v>
      </c>
      <c r="Q19" s="30">
        <f>+Q16+Q17</f>
        <v>17000</v>
      </c>
      <c r="R19" s="30"/>
      <c r="S19" s="31">
        <f>+S16+S17</f>
        <v>25114.59</v>
      </c>
      <c r="T19" s="31">
        <f>+T16+T17</f>
        <v>34500</v>
      </c>
      <c r="U19" s="16"/>
      <c r="V19" s="70">
        <f>+V16+V17+V18</f>
        <v>30052.32</v>
      </c>
      <c r="W19" s="31">
        <f>+W16+W17</f>
        <v>24000</v>
      </c>
      <c r="Y19" s="70">
        <f>+Y16+Y17</f>
        <v>27000</v>
      </c>
      <c r="Z19" s="86"/>
    </row>
    <row r="20" spans="1:26" x14ac:dyDescent="0.3">
      <c r="A20" s="18"/>
      <c r="B20" s="18"/>
      <c r="C20" s="18"/>
      <c r="D20" s="27"/>
      <c r="E20" s="28"/>
      <c r="F20" s="28"/>
      <c r="G20" s="27"/>
      <c r="H20" s="27"/>
      <c r="I20" s="27"/>
      <c r="J20" s="28"/>
      <c r="K20" s="27"/>
      <c r="L20" s="28"/>
      <c r="M20" s="29"/>
      <c r="P20" s="32"/>
      <c r="Q20" s="30"/>
      <c r="R20" s="30"/>
      <c r="S20" s="31"/>
      <c r="T20" s="31"/>
      <c r="U20" s="16"/>
      <c r="V20" s="65"/>
      <c r="W20" s="31"/>
      <c r="Y20" s="65"/>
      <c r="Z20" s="86"/>
    </row>
    <row r="21" spans="1:26" x14ac:dyDescent="0.3">
      <c r="A21" s="18" t="s">
        <v>15</v>
      </c>
      <c r="B21" s="18"/>
      <c r="C21" s="18"/>
      <c r="D21" s="27"/>
      <c r="E21" s="28"/>
      <c r="F21" s="28"/>
      <c r="G21" s="27"/>
      <c r="H21" s="27"/>
      <c r="I21" s="27"/>
      <c r="J21" s="28"/>
      <c r="K21" s="27"/>
      <c r="L21" s="28"/>
      <c r="M21" s="29"/>
      <c r="P21" s="32"/>
      <c r="Q21" s="30"/>
      <c r="R21" s="30"/>
      <c r="S21" s="31"/>
      <c r="T21" s="31"/>
      <c r="U21" s="16"/>
      <c r="V21" s="65"/>
      <c r="W21" s="31"/>
      <c r="Y21" s="65"/>
      <c r="Z21" s="86"/>
    </row>
    <row r="22" spans="1:26" x14ac:dyDescent="0.3">
      <c r="A22" s="42"/>
      <c r="B22" s="42" t="s">
        <v>17</v>
      </c>
      <c r="C22" s="42"/>
      <c r="D22" s="27">
        <f>ROUND(D6+D13+D19,5)</f>
        <v>508636.44</v>
      </c>
      <c r="E22" s="28"/>
      <c r="F22" s="28"/>
      <c r="G22" s="27">
        <f>ROUND(G6+G13+G19,5)</f>
        <v>503500</v>
      </c>
      <c r="H22" s="27"/>
      <c r="I22" s="27"/>
      <c r="J22" s="28"/>
      <c r="K22" s="27"/>
      <c r="L22" s="28"/>
      <c r="M22" s="29"/>
      <c r="P22" s="32"/>
      <c r="Q22" s="30"/>
      <c r="R22" s="30"/>
      <c r="S22" s="30"/>
      <c r="T22" s="31"/>
      <c r="U22" s="16"/>
      <c r="V22" s="84">
        <v>2075</v>
      </c>
      <c r="W22" s="30"/>
      <c r="Z22" s="86"/>
    </row>
    <row r="23" spans="1:26" hidden="1" x14ac:dyDescent="0.3">
      <c r="A23" s="18" t="s">
        <v>15</v>
      </c>
      <c r="B23" s="18"/>
      <c r="C23" s="18"/>
      <c r="D23" s="27"/>
      <c r="E23" s="28"/>
      <c r="F23" s="28"/>
      <c r="G23" s="27"/>
      <c r="H23" s="27"/>
      <c r="I23" s="27"/>
      <c r="J23" s="28"/>
      <c r="K23" s="27"/>
      <c r="L23" s="28"/>
      <c r="M23" s="29"/>
      <c r="P23" s="32"/>
      <c r="Q23" s="30"/>
      <c r="R23" s="30"/>
      <c r="S23" s="30"/>
      <c r="T23" s="31"/>
      <c r="U23" s="16"/>
      <c r="W23" s="30"/>
      <c r="Z23" s="86"/>
    </row>
    <row r="24" spans="1:26" hidden="1" x14ac:dyDescent="0.3">
      <c r="A24" s="18"/>
      <c r="B24" s="18" t="s">
        <v>16</v>
      </c>
      <c r="C24" s="18"/>
      <c r="D24" s="27"/>
      <c r="E24" s="28"/>
      <c r="F24" s="28"/>
      <c r="G24" s="27"/>
      <c r="H24" s="27"/>
      <c r="I24" s="27">
        <v>50</v>
      </c>
      <c r="J24" s="28"/>
      <c r="K24" s="27"/>
      <c r="L24" s="28"/>
      <c r="M24" s="29"/>
      <c r="P24" s="32"/>
      <c r="Q24" s="30"/>
      <c r="R24" s="30"/>
      <c r="S24" s="30"/>
      <c r="T24" s="31"/>
      <c r="U24" s="16"/>
      <c r="W24" s="30"/>
      <c r="Z24" s="86"/>
    </row>
    <row r="25" spans="1:26" ht="16.2" hidden="1" thickBot="1" x14ac:dyDescent="0.35">
      <c r="A25" s="18"/>
      <c r="B25" s="18" t="s">
        <v>17</v>
      </c>
      <c r="C25" s="18"/>
      <c r="D25" s="27"/>
      <c r="E25" s="28"/>
      <c r="F25" s="28"/>
      <c r="G25" s="27"/>
      <c r="H25" s="27"/>
      <c r="I25" s="33">
        <v>25</v>
      </c>
      <c r="J25" s="28"/>
      <c r="K25" s="27"/>
      <c r="L25" s="28"/>
      <c r="M25" s="29"/>
      <c r="P25" s="32">
        <v>50</v>
      </c>
      <c r="Q25" s="30"/>
      <c r="R25" s="30"/>
      <c r="S25" s="30"/>
      <c r="T25" s="31"/>
      <c r="U25" s="16"/>
      <c r="W25" s="30"/>
      <c r="Z25" s="86"/>
    </row>
    <row r="26" spans="1:26" hidden="1" x14ac:dyDescent="0.3">
      <c r="A26" s="18" t="s">
        <v>18</v>
      </c>
      <c r="B26" s="18"/>
      <c r="C26" s="18"/>
      <c r="D26" s="27"/>
      <c r="E26" s="28"/>
      <c r="F26" s="28"/>
      <c r="G26" s="27"/>
      <c r="H26" s="27"/>
      <c r="I26" s="27">
        <f>ROUND(SUM(I22:I25),5)</f>
        <v>75</v>
      </c>
      <c r="J26" s="28"/>
      <c r="K26" s="27"/>
      <c r="L26" s="28"/>
      <c r="M26" s="29"/>
      <c r="P26" s="32">
        <v>50</v>
      </c>
      <c r="Q26" s="30"/>
      <c r="R26" s="30"/>
      <c r="S26" s="30"/>
      <c r="T26" s="31"/>
      <c r="U26" s="16"/>
      <c r="W26" s="30"/>
      <c r="Z26" s="86"/>
    </row>
    <row r="27" spans="1:26" ht="16.2" hidden="1" thickBot="1" x14ac:dyDescent="0.35">
      <c r="A27" s="18" t="s">
        <v>19</v>
      </c>
      <c r="B27" s="18"/>
      <c r="C27" s="18"/>
      <c r="D27" s="27"/>
      <c r="E27" s="28"/>
      <c r="F27" s="28"/>
      <c r="G27" s="27"/>
      <c r="H27" s="27"/>
      <c r="I27" s="33">
        <v>1000</v>
      </c>
      <c r="J27" s="28"/>
      <c r="K27" s="33"/>
      <c r="L27" s="28"/>
      <c r="M27" s="34"/>
      <c r="P27" s="37">
        <v>120.45</v>
      </c>
      <c r="Q27" s="38"/>
      <c r="R27" s="30"/>
      <c r="S27" s="38"/>
      <c r="T27" s="39"/>
      <c r="U27" s="16"/>
      <c r="W27" s="38"/>
      <c r="Z27" s="86"/>
    </row>
    <row r="28" spans="1:26" x14ac:dyDescent="0.3">
      <c r="A28" s="18"/>
      <c r="B28" s="18"/>
      <c r="C28" s="18"/>
      <c r="D28" s="27"/>
      <c r="E28" s="28"/>
      <c r="F28" s="28"/>
      <c r="G28" s="27"/>
      <c r="H28" s="27"/>
      <c r="I28" s="27"/>
      <c r="J28" s="28"/>
      <c r="K28" s="27"/>
      <c r="L28" s="28"/>
      <c r="M28" s="29"/>
      <c r="P28" s="32"/>
      <c r="Q28" s="30"/>
      <c r="R28" s="30"/>
      <c r="S28" s="30"/>
      <c r="T28" s="31"/>
      <c r="U28" s="16"/>
      <c r="W28" s="30"/>
      <c r="Z28" s="86"/>
    </row>
    <row r="29" spans="1:26" ht="16.2" thickBot="1" x14ac:dyDescent="0.35">
      <c r="A29" s="18"/>
      <c r="B29" s="18"/>
      <c r="C29" s="18"/>
      <c r="D29" s="27"/>
      <c r="E29" s="28"/>
      <c r="F29" s="28"/>
      <c r="G29" s="27"/>
      <c r="H29" s="27"/>
      <c r="I29" s="27"/>
      <c r="J29" s="28"/>
      <c r="K29" s="27"/>
      <c r="L29" s="28"/>
      <c r="M29" s="29"/>
      <c r="P29" s="32"/>
      <c r="Q29" s="30"/>
      <c r="R29" s="30"/>
      <c r="S29" s="30"/>
      <c r="T29" s="31"/>
      <c r="U29" s="16"/>
      <c r="W29" s="30"/>
      <c r="Z29" s="86"/>
    </row>
    <row r="30" spans="1:26" ht="16.2" thickTop="1" x14ac:dyDescent="0.3">
      <c r="A30" s="18" t="s">
        <v>178</v>
      </c>
      <c r="B30" s="18"/>
      <c r="C30" s="18"/>
      <c r="D30" s="27"/>
      <c r="E30" s="28"/>
      <c r="F30" s="28"/>
      <c r="G30" s="27"/>
      <c r="H30" s="27"/>
      <c r="I30" s="27">
        <f>ROUND(I6+I13+I19+SUM(I26:I27),5)</f>
        <v>454778.01</v>
      </c>
      <c r="J30" s="28"/>
      <c r="K30" s="27">
        <f>ROUND(K6+K13+K19+SUM(K26:K27),5)</f>
        <v>475000</v>
      </c>
      <c r="L30" s="28"/>
      <c r="M30" s="29">
        <f>ROUND(IF(K30=0, IF(I30=0, 0, 1), I30/K30),5)</f>
        <v>0.95743</v>
      </c>
      <c r="P30" s="43">
        <f>ROUND(P6+P13+P19+SUM(P26:P27),5)</f>
        <v>454649.5</v>
      </c>
      <c r="Q30" s="30"/>
      <c r="R30" s="30"/>
      <c r="S30" s="79">
        <f>ROUND(S6+S13+S19+SUM(S26:S27),5)</f>
        <v>469415.55</v>
      </c>
      <c r="T30" s="66"/>
      <c r="U30" s="80"/>
      <c r="V30" s="81">
        <f>ROUND(V6+V13+V19+V22+SUM(V26:V27),5)</f>
        <v>525228.47</v>
      </c>
      <c r="W30" s="82">
        <f>ROUND(W6+W13+W19+SUM(W26:W27),5)</f>
        <v>499000</v>
      </c>
      <c r="X30" s="83"/>
      <c r="Y30" s="81">
        <f>ROUND(Y6+Y13+Y19+SUM(Y26:Y27),5)</f>
        <v>547000</v>
      </c>
      <c r="Z30" s="86"/>
    </row>
    <row r="31" spans="1:26" x14ac:dyDescent="0.3">
      <c r="A31" s="18"/>
      <c r="B31" s="18"/>
      <c r="C31" s="18"/>
      <c r="D31" s="27"/>
      <c r="E31" s="28"/>
      <c r="F31" s="28"/>
      <c r="G31" s="27"/>
      <c r="H31" s="27"/>
      <c r="I31" s="27"/>
      <c r="J31" s="28"/>
      <c r="K31" s="27"/>
      <c r="L31" s="28"/>
      <c r="M31" s="29"/>
      <c r="P31" s="32"/>
      <c r="Q31" s="30"/>
      <c r="R31" s="30"/>
      <c r="S31" s="30"/>
      <c r="T31" s="31"/>
      <c r="U31" s="16"/>
      <c r="W31" s="30"/>
      <c r="Z31" s="86"/>
    </row>
    <row r="32" spans="1:26" hidden="1" x14ac:dyDescent="0.3">
      <c r="A32" s="18" t="s">
        <v>20</v>
      </c>
      <c r="B32" s="18"/>
      <c r="C32" s="18"/>
      <c r="D32" s="27"/>
      <c r="E32" s="28"/>
      <c r="F32" s="28"/>
      <c r="G32" s="27"/>
      <c r="H32" s="27"/>
      <c r="I32" s="27">
        <v>40.92</v>
      </c>
      <c r="J32" s="28"/>
      <c r="K32" s="27"/>
      <c r="L32" s="28"/>
      <c r="M32" s="29"/>
      <c r="P32" s="32">
        <v>89.4</v>
      </c>
      <c r="Q32" s="30"/>
      <c r="R32" s="30"/>
      <c r="S32" s="30"/>
      <c r="T32" s="31"/>
      <c r="U32" s="16"/>
      <c r="W32" s="30"/>
      <c r="Z32" s="86"/>
    </row>
    <row r="33" spans="1:26" x14ac:dyDescent="0.3">
      <c r="A33" s="18" t="s">
        <v>21</v>
      </c>
      <c r="B33" s="18"/>
      <c r="C33" s="18"/>
      <c r="D33" s="27">
        <v>150</v>
      </c>
      <c r="E33" s="28"/>
      <c r="F33" s="28"/>
      <c r="G33" s="27">
        <v>300</v>
      </c>
      <c r="H33" s="27"/>
      <c r="I33" s="27">
        <v>225</v>
      </c>
      <c r="J33" s="28"/>
      <c r="K33" s="27">
        <v>225</v>
      </c>
      <c r="L33" s="28"/>
      <c r="M33" s="29">
        <f t="shared" ref="M33:M41" si="0">ROUND(IF(K33=0, IF(I33=0, 0, 1), I33/K33),5)</f>
        <v>1</v>
      </c>
      <c r="P33" s="32">
        <v>225</v>
      </c>
      <c r="Q33" s="30">
        <v>225</v>
      </c>
      <c r="R33" s="30"/>
      <c r="S33" s="30">
        <v>475</v>
      </c>
      <c r="T33" s="31">
        <v>100</v>
      </c>
      <c r="U33" s="16"/>
      <c r="V33" s="84">
        <v>75</v>
      </c>
      <c r="W33" s="30">
        <v>250</v>
      </c>
      <c r="Y33" s="32">
        <v>75</v>
      </c>
      <c r="Z33" s="86"/>
    </row>
    <row r="34" spans="1:26" x14ac:dyDescent="0.3">
      <c r="A34" s="18" t="s">
        <v>22</v>
      </c>
      <c r="B34" s="18"/>
      <c r="C34" s="18"/>
      <c r="D34" s="27">
        <v>4065</v>
      </c>
      <c r="E34" s="28"/>
      <c r="F34" s="28"/>
      <c r="G34" s="27">
        <v>400</v>
      </c>
      <c r="H34" s="27"/>
      <c r="I34" s="27">
        <v>5150</v>
      </c>
      <c r="J34" s="28"/>
      <c r="K34" s="27">
        <v>2000</v>
      </c>
      <c r="L34" s="28"/>
      <c r="M34" s="29">
        <f t="shared" si="0"/>
        <v>2.5750000000000002</v>
      </c>
      <c r="P34" s="32">
        <v>3040</v>
      </c>
      <c r="Q34" s="30">
        <v>4500</v>
      </c>
      <c r="R34" s="30"/>
      <c r="S34" s="30">
        <v>2100</v>
      </c>
      <c r="T34" s="31">
        <v>3000</v>
      </c>
      <c r="U34" s="16"/>
      <c r="V34" s="84">
        <v>2400</v>
      </c>
      <c r="W34" s="30">
        <v>3000</v>
      </c>
      <c r="Y34" s="32">
        <v>2400</v>
      </c>
      <c r="Z34" s="86"/>
    </row>
    <row r="35" spans="1:26" x14ac:dyDescent="0.3">
      <c r="A35" s="18" t="s">
        <v>169</v>
      </c>
      <c r="B35" s="18"/>
      <c r="C35" s="18"/>
      <c r="D35" s="27"/>
      <c r="E35" s="28"/>
      <c r="F35" s="28"/>
      <c r="G35" s="27"/>
      <c r="H35" s="27"/>
      <c r="I35" s="27"/>
      <c r="J35" s="28"/>
      <c r="K35" s="27"/>
      <c r="L35" s="28"/>
      <c r="M35" s="29"/>
      <c r="P35" s="32"/>
      <c r="Q35" s="30"/>
      <c r="R35" s="30"/>
      <c r="S35" s="30">
        <v>2500</v>
      </c>
      <c r="T35" s="31"/>
      <c r="U35" s="16"/>
      <c r="V35" s="84">
        <v>2500</v>
      </c>
      <c r="W35" s="30">
        <v>2500</v>
      </c>
      <c r="Y35" s="32">
        <v>2500</v>
      </c>
      <c r="Z35" s="86"/>
    </row>
    <row r="36" spans="1:26" x14ac:dyDescent="0.3">
      <c r="A36" s="18" t="s">
        <v>23</v>
      </c>
      <c r="B36" s="18"/>
      <c r="C36" s="18"/>
      <c r="D36" s="27">
        <v>14087.5</v>
      </c>
      <c r="E36" s="28"/>
      <c r="F36" s="28"/>
      <c r="G36" s="27">
        <v>20000</v>
      </c>
      <c r="H36" s="27"/>
      <c r="I36" s="27">
        <v>19472.5</v>
      </c>
      <c r="J36" s="28"/>
      <c r="K36" s="27">
        <v>20000</v>
      </c>
      <c r="L36" s="28"/>
      <c r="M36" s="29">
        <f t="shared" si="0"/>
        <v>0.97363</v>
      </c>
      <c r="P36" s="32">
        <v>20060</v>
      </c>
      <c r="Q36" s="30">
        <v>20000</v>
      </c>
      <c r="R36" s="30"/>
      <c r="S36" s="30">
        <v>21010</v>
      </c>
      <c r="T36" s="31">
        <v>22500</v>
      </c>
      <c r="U36" s="16"/>
      <c r="V36" s="84">
        <v>27782.5</v>
      </c>
      <c r="W36" s="30">
        <v>23000</v>
      </c>
      <c r="Y36" s="32">
        <v>27000</v>
      </c>
      <c r="Z36" s="86"/>
    </row>
    <row r="37" spans="1:26" x14ac:dyDescent="0.3">
      <c r="A37" s="18" t="s">
        <v>24</v>
      </c>
      <c r="B37" s="18"/>
      <c r="C37" s="18"/>
      <c r="D37" s="27"/>
      <c r="E37" s="28"/>
      <c r="F37" s="28"/>
      <c r="G37" s="27"/>
      <c r="H37" s="27"/>
      <c r="I37" s="27"/>
      <c r="J37" s="28"/>
      <c r="K37" s="27"/>
      <c r="L37" s="28"/>
      <c r="M37" s="29"/>
      <c r="P37" s="32"/>
      <c r="Q37" s="30"/>
      <c r="R37" s="30"/>
      <c r="S37" s="30">
        <v>331</v>
      </c>
      <c r="T37" s="31"/>
      <c r="U37" s="16"/>
      <c r="V37" s="84">
        <v>403</v>
      </c>
      <c r="W37" s="30"/>
      <c r="Z37" s="86"/>
    </row>
    <row r="38" spans="1:26" x14ac:dyDescent="0.3">
      <c r="A38" s="18" t="s">
        <v>25</v>
      </c>
      <c r="B38" s="18"/>
      <c r="C38" s="18"/>
      <c r="D38" s="27">
        <v>225</v>
      </c>
      <c r="E38" s="28"/>
      <c r="F38" s="28"/>
      <c r="G38" s="27"/>
      <c r="H38" s="27"/>
      <c r="I38" s="27">
        <v>750</v>
      </c>
      <c r="J38" s="28"/>
      <c r="K38" s="27">
        <v>500</v>
      </c>
      <c r="L38" s="28"/>
      <c r="M38" s="29">
        <f t="shared" si="0"/>
        <v>1.5</v>
      </c>
      <c r="P38" s="32">
        <v>2225</v>
      </c>
      <c r="Q38" s="30">
        <v>500</v>
      </c>
      <c r="R38" s="30"/>
      <c r="S38" s="30">
        <v>1975</v>
      </c>
      <c r="T38" s="31">
        <v>2225</v>
      </c>
      <c r="U38" s="16"/>
      <c r="V38" s="84">
        <v>4800</v>
      </c>
      <c r="W38" s="30">
        <v>2000</v>
      </c>
      <c r="Y38" s="32">
        <v>4000</v>
      </c>
      <c r="Z38" s="86"/>
    </row>
    <row r="39" spans="1:26" x14ac:dyDescent="0.3">
      <c r="A39" s="18" t="s">
        <v>26</v>
      </c>
      <c r="B39" s="18"/>
      <c r="C39" s="18"/>
      <c r="D39" s="27"/>
      <c r="E39" s="28"/>
      <c r="F39" s="28"/>
      <c r="G39" s="27">
        <v>2500</v>
      </c>
      <c r="H39" s="27"/>
      <c r="I39" s="27">
        <v>8382.76</v>
      </c>
      <c r="J39" s="28"/>
      <c r="K39" s="27">
        <v>500</v>
      </c>
      <c r="L39" s="28"/>
      <c r="M39" s="29">
        <f t="shared" si="0"/>
        <v>16.765519999999999</v>
      </c>
      <c r="P39" s="32">
        <v>820.55</v>
      </c>
      <c r="Q39" s="30">
        <v>500</v>
      </c>
      <c r="R39" s="30"/>
      <c r="S39" s="30">
        <v>9483</v>
      </c>
      <c r="T39" s="31">
        <v>800</v>
      </c>
      <c r="U39" s="16"/>
      <c r="V39" s="84">
        <v>561</v>
      </c>
      <c r="W39" s="30">
        <v>1000</v>
      </c>
      <c r="Y39" s="32">
        <v>500</v>
      </c>
      <c r="Z39" s="86"/>
    </row>
    <row r="40" spans="1:26" ht="16.2" thickBot="1" x14ac:dyDescent="0.35">
      <c r="A40" s="18" t="s">
        <v>27</v>
      </c>
      <c r="B40" s="18"/>
      <c r="C40" s="18"/>
      <c r="D40" s="33">
        <v>100</v>
      </c>
      <c r="E40" s="28"/>
      <c r="F40" s="28"/>
      <c r="G40" s="33"/>
      <c r="H40" s="27"/>
      <c r="I40" s="33">
        <v>200</v>
      </c>
      <c r="J40" s="28"/>
      <c r="K40" s="33">
        <v>1500</v>
      </c>
      <c r="L40" s="28"/>
      <c r="M40" s="34">
        <f t="shared" si="0"/>
        <v>0.13333</v>
      </c>
      <c r="P40" s="37">
        <v>2000</v>
      </c>
      <c r="Q40" s="38">
        <v>500</v>
      </c>
      <c r="R40" s="38"/>
      <c r="S40" s="38"/>
      <c r="T40" s="39">
        <v>2000</v>
      </c>
      <c r="U40" s="16"/>
      <c r="V40" s="84">
        <v>1200</v>
      </c>
      <c r="W40" s="38">
        <v>500</v>
      </c>
      <c r="Y40" s="32">
        <v>1000</v>
      </c>
      <c r="Z40" s="86"/>
    </row>
    <row r="41" spans="1:26" ht="16.2" thickTop="1" x14ac:dyDescent="0.3">
      <c r="A41" s="18"/>
      <c r="B41" s="18"/>
      <c r="C41" s="18"/>
      <c r="D41" s="27">
        <f>ROUND(SUM(D23:D40),5)</f>
        <v>18627.5</v>
      </c>
      <c r="E41" s="28"/>
      <c r="F41" s="28"/>
      <c r="G41" s="27">
        <f>ROUND(SUM(G23:G40),5)</f>
        <v>23200</v>
      </c>
      <c r="H41" s="27"/>
      <c r="I41" s="27">
        <f>ROUND(SUM(I31:I40),5)</f>
        <v>34221.18</v>
      </c>
      <c r="J41" s="28"/>
      <c r="K41" s="27">
        <f>ROUND(SUM(K31:K40),5)</f>
        <v>24725</v>
      </c>
      <c r="L41" s="28"/>
      <c r="M41" s="29">
        <f t="shared" si="0"/>
        <v>1.3840699999999999</v>
      </c>
      <c r="P41" s="30">
        <f>+SUM(P32:P40)</f>
        <v>28459.95</v>
      </c>
      <c r="Q41" s="30">
        <f>+SUM(Q33:Q40)</f>
        <v>26225</v>
      </c>
      <c r="R41" s="30"/>
      <c r="S41" s="31">
        <f>+SUM(S33:S40)</f>
        <v>37874</v>
      </c>
      <c r="T41" s="31">
        <f>+SUM(T33:T40)</f>
        <v>30625</v>
      </c>
      <c r="U41" s="16"/>
      <c r="V41" s="70">
        <f>+SUM(V33:V40)</f>
        <v>39721.5</v>
      </c>
      <c r="W41" s="31">
        <f>+SUM(W33:W40)</f>
        <v>32250</v>
      </c>
      <c r="Y41" s="70">
        <f>+SUM(Y33:Y40)</f>
        <v>37475</v>
      </c>
      <c r="Z41" s="86"/>
    </row>
    <row r="42" spans="1:26" x14ac:dyDescent="0.3">
      <c r="A42" s="18"/>
      <c r="B42" s="18"/>
      <c r="C42" s="18"/>
      <c r="D42" s="27"/>
      <c r="E42" s="28"/>
      <c r="F42" s="28"/>
      <c r="G42" s="27"/>
      <c r="H42" s="27"/>
      <c r="I42" s="27"/>
      <c r="J42" s="28"/>
      <c r="K42" s="27"/>
      <c r="L42" s="28"/>
      <c r="M42" s="29"/>
      <c r="P42" s="32"/>
      <c r="Q42" s="30"/>
      <c r="R42" s="30"/>
      <c r="S42" s="30"/>
      <c r="T42" s="31"/>
      <c r="U42" s="16"/>
      <c r="W42" s="30"/>
      <c r="Z42" s="86"/>
    </row>
    <row r="43" spans="1:26" hidden="1" x14ac:dyDescent="0.3">
      <c r="A43" s="18"/>
      <c r="B43" s="18"/>
      <c r="C43" s="18"/>
      <c r="D43" s="44"/>
      <c r="E43" s="45"/>
      <c r="F43" s="45"/>
      <c r="G43" s="44"/>
      <c r="H43" s="44"/>
      <c r="I43" s="44"/>
      <c r="J43" s="45"/>
      <c r="K43" s="44"/>
      <c r="L43" s="45"/>
      <c r="M43" s="46"/>
      <c r="N43" s="7"/>
      <c r="O43" s="7"/>
      <c r="P43" s="8"/>
      <c r="Q43" s="9"/>
      <c r="R43" s="9"/>
      <c r="S43" s="9"/>
      <c r="T43" s="10"/>
      <c r="U43" s="16"/>
      <c r="W43" s="30"/>
      <c r="Z43" s="86"/>
    </row>
    <row r="44" spans="1:26" hidden="1" x14ac:dyDescent="0.3">
      <c r="A44" s="18" t="s">
        <v>28</v>
      </c>
      <c r="B44" s="18"/>
      <c r="C44" s="18"/>
      <c r="D44" s="44">
        <v>245</v>
      </c>
      <c r="E44" s="45"/>
      <c r="F44" s="45"/>
      <c r="G44" s="44">
        <v>1000</v>
      </c>
      <c r="H44" s="44"/>
      <c r="I44" s="44"/>
      <c r="J44" s="45"/>
      <c r="K44" s="44"/>
      <c r="L44" s="45"/>
      <c r="M44" s="46"/>
      <c r="N44" s="7"/>
      <c r="O44" s="7"/>
      <c r="P44" s="8">
        <v>140</v>
      </c>
      <c r="Q44" s="9"/>
      <c r="R44" s="9"/>
      <c r="S44" s="9"/>
      <c r="T44" s="10"/>
      <c r="U44" s="16"/>
      <c r="W44" s="30"/>
      <c r="Z44" s="86"/>
    </row>
    <row r="45" spans="1:26" hidden="1" x14ac:dyDescent="0.3">
      <c r="A45" s="18" t="s">
        <v>29</v>
      </c>
      <c r="B45" s="18"/>
      <c r="C45" s="18"/>
      <c r="D45" s="44"/>
      <c r="E45" s="45"/>
      <c r="F45" s="45"/>
      <c r="G45" s="44">
        <v>350</v>
      </c>
      <c r="H45" s="44"/>
      <c r="I45" s="44"/>
      <c r="J45" s="45"/>
      <c r="K45" s="44"/>
      <c r="L45" s="45"/>
      <c r="M45" s="46"/>
      <c r="N45" s="7"/>
      <c r="O45" s="7"/>
      <c r="P45" s="8"/>
      <c r="Q45" s="9"/>
      <c r="R45" s="9"/>
      <c r="S45" s="9"/>
      <c r="T45" s="10"/>
      <c r="U45" s="16"/>
      <c r="W45" s="30"/>
      <c r="Z45" s="86"/>
    </row>
    <row r="46" spans="1:26" hidden="1" x14ac:dyDescent="0.3">
      <c r="A46" s="18" t="s">
        <v>30</v>
      </c>
      <c r="B46" s="18"/>
      <c r="C46" s="18"/>
      <c r="D46" s="44"/>
      <c r="E46" s="45"/>
      <c r="F46" s="45"/>
      <c r="G46" s="44">
        <v>2000</v>
      </c>
      <c r="H46" s="44"/>
      <c r="I46" s="44"/>
      <c r="J46" s="45"/>
      <c r="K46" s="44"/>
      <c r="L46" s="45"/>
      <c r="M46" s="46"/>
      <c r="N46" s="7"/>
      <c r="O46" s="7"/>
      <c r="P46" s="8"/>
      <c r="Q46" s="9"/>
      <c r="R46" s="9"/>
      <c r="S46" s="9"/>
      <c r="T46" s="10"/>
      <c r="U46" s="16"/>
      <c r="W46" s="30"/>
      <c r="Z46" s="86"/>
    </row>
    <row r="47" spans="1:26" hidden="1" x14ac:dyDescent="0.3">
      <c r="A47" s="18" t="s">
        <v>31</v>
      </c>
      <c r="B47" s="18"/>
      <c r="C47" s="18"/>
      <c r="D47" s="44">
        <v>200</v>
      </c>
      <c r="E47" s="45"/>
      <c r="F47" s="45"/>
      <c r="G47" s="44">
        <v>1500</v>
      </c>
      <c r="H47" s="44"/>
      <c r="I47" s="44"/>
      <c r="J47" s="45"/>
      <c r="K47" s="44"/>
      <c r="L47" s="45"/>
      <c r="M47" s="46"/>
      <c r="N47" s="7"/>
      <c r="O47" s="7"/>
      <c r="P47" s="8"/>
      <c r="Q47" s="9"/>
      <c r="R47" s="9"/>
      <c r="S47" s="9"/>
      <c r="T47" s="10"/>
      <c r="U47" s="16"/>
      <c r="W47" s="30"/>
      <c r="Z47" s="86"/>
    </row>
    <row r="48" spans="1:26" ht="16.2" hidden="1" thickBot="1" x14ac:dyDescent="0.35">
      <c r="A48" s="18" t="s">
        <v>32</v>
      </c>
      <c r="B48" s="18"/>
      <c r="C48" s="18"/>
      <c r="D48" s="47">
        <v>265</v>
      </c>
      <c r="E48" s="45"/>
      <c r="F48" s="45"/>
      <c r="G48" s="47">
        <v>1300</v>
      </c>
      <c r="H48" s="44"/>
      <c r="I48" s="44"/>
      <c r="J48" s="45"/>
      <c r="K48" s="44"/>
      <c r="L48" s="45"/>
      <c r="M48" s="46"/>
      <c r="N48" s="7"/>
      <c r="O48" s="7"/>
      <c r="P48" s="11"/>
      <c r="Q48" s="12"/>
      <c r="R48" s="9"/>
      <c r="S48" s="9"/>
      <c r="T48" s="10"/>
      <c r="U48" s="16"/>
      <c r="W48" s="30"/>
      <c r="Z48" s="86"/>
    </row>
    <row r="49" spans="1:28" hidden="1" x14ac:dyDescent="0.3">
      <c r="A49" s="18"/>
      <c r="B49" s="18"/>
      <c r="C49" s="18"/>
      <c r="D49" s="44">
        <f>ROUND(SUM(D43:D48),5)</f>
        <v>710</v>
      </c>
      <c r="E49" s="45"/>
      <c r="F49" s="45"/>
      <c r="G49" s="44">
        <f>ROUND(SUM(G43:G48),5)</f>
        <v>6150</v>
      </c>
      <c r="H49" s="44"/>
      <c r="I49" s="44"/>
      <c r="J49" s="45"/>
      <c r="K49" s="44"/>
      <c r="L49" s="45"/>
      <c r="M49" s="46"/>
      <c r="N49" s="7"/>
      <c r="O49" s="7"/>
      <c r="P49" s="8">
        <f>+P44</f>
        <v>140</v>
      </c>
      <c r="Q49" s="9"/>
      <c r="R49" s="9"/>
      <c r="S49" s="9"/>
      <c r="T49" s="10"/>
      <c r="U49" s="16"/>
      <c r="W49" s="30"/>
      <c r="Z49" s="86"/>
    </row>
    <row r="50" spans="1:28" x14ac:dyDescent="0.3">
      <c r="A50" s="18" t="s">
        <v>33</v>
      </c>
      <c r="B50" s="18"/>
      <c r="C50" s="18"/>
      <c r="D50" s="44">
        <v>32769</v>
      </c>
      <c r="E50" s="45"/>
      <c r="F50" s="45"/>
      <c r="G50" s="44">
        <v>30000</v>
      </c>
      <c r="H50" s="44"/>
      <c r="I50" s="44"/>
      <c r="J50" s="45"/>
      <c r="K50" s="44"/>
      <c r="L50" s="45"/>
      <c r="M50" s="46"/>
      <c r="N50" s="7"/>
      <c r="O50" s="7"/>
      <c r="P50" s="8">
        <v>13519.45</v>
      </c>
      <c r="Q50" s="7"/>
      <c r="R50" s="7"/>
      <c r="S50" s="8">
        <v>15273.45</v>
      </c>
      <c r="T50" s="10">
        <v>10000</v>
      </c>
      <c r="U50" s="16"/>
      <c r="V50" s="84">
        <v>18719.87</v>
      </c>
      <c r="W50" s="30"/>
      <c r="Y50" s="32">
        <v>15000</v>
      </c>
      <c r="Z50" s="86"/>
    </row>
    <row r="51" spans="1:28" x14ac:dyDescent="0.3">
      <c r="A51" s="18" t="s">
        <v>34</v>
      </c>
      <c r="B51" s="18"/>
      <c r="C51" s="18"/>
      <c r="D51" s="44">
        <v>1488</v>
      </c>
      <c r="E51" s="45"/>
      <c r="F51" s="45"/>
      <c r="G51" s="44"/>
      <c r="H51" s="44"/>
      <c r="I51" s="44"/>
      <c r="J51" s="45"/>
      <c r="K51" s="44"/>
      <c r="L51" s="45"/>
      <c r="M51" s="46"/>
      <c r="N51" s="7"/>
      <c r="O51" s="7"/>
      <c r="Q51" s="9"/>
      <c r="R51" s="9"/>
      <c r="S51" s="9"/>
      <c r="T51" s="10"/>
      <c r="U51" s="16"/>
      <c r="V51" s="84"/>
      <c r="W51" s="30"/>
      <c r="Z51" s="86"/>
    </row>
    <row r="52" spans="1:28" ht="16.2" thickBot="1" x14ac:dyDescent="0.35">
      <c r="A52" s="18" t="s">
        <v>36</v>
      </c>
      <c r="B52" s="18"/>
      <c r="C52" s="18"/>
      <c r="D52" s="44"/>
      <c r="E52" s="45"/>
      <c r="F52" s="45"/>
      <c r="G52" s="44"/>
      <c r="H52" s="47"/>
      <c r="I52" s="44"/>
      <c r="J52" s="45"/>
      <c r="K52" s="44">
        <v>1000</v>
      </c>
      <c r="L52" s="45"/>
      <c r="M52" s="46"/>
      <c r="N52" s="7"/>
      <c r="O52" s="7"/>
      <c r="P52" s="8"/>
      <c r="Q52" s="9"/>
      <c r="R52" s="9"/>
      <c r="S52" s="9"/>
      <c r="T52" s="10"/>
      <c r="U52" s="16"/>
      <c r="V52" s="84"/>
      <c r="W52" s="30"/>
      <c r="Z52" s="86"/>
    </row>
    <row r="53" spans="1:28" ht="16.2" thickBot="1" x14ac:dyDescent="0.35">
      <c r="A53" s="18" t="s">
        <v>37</v>
      </c>
      <c r="B53" s="18"/>
      <c r="C53" s="18"/>
      <c r="D53" s="47">
        <v>936</v>
      </c>
      <c r="E53" s="45"/>
      <c r="F53" s="45"/>
      <c r="G53" s="47"/>
      <c r="H53" s="44"/>
      <c r="I53" s="47">
        <v>95</v>
      </c>
      <c r="J53" s="45"/>
      <c r="K53" s="47"/>
      <c r="L53" s="45"/>
      <c r="M53" s="48"/>
      <c r="N53" s="7"/>
      <c r="O53" s="7"/>
      <c r="P53" s="13">
        <v>190</v>
      </c>
      <c r="Q53" s="14"/>
      <c r="R53" s="14"/>
      <c r="S53" s="14">
        <v>58</v>
      </c>
      <c r="T53" s="15"/>
      <c r="U53" s="16"/>
      <c r="V53" s="84">
        <v>202</v>
      </c>
      <c r="W53" s="38">
        <v>10000</v>
      </c>
      <c r="Z53" s="86"/>
    </row>
    <row r="54" spans="1:28" ht="16.2" thickTop="1" x14ac:dyDescent="0.3">
      <c r="A54" s="18"/>
      <c r="B54" s="18"/>
      <c r="C54" s="18"/>
      <c r="D54" s="44">
        <f>ROUND(SUM(D50:D53),5)</f>
        <v>35193</v>
      </c>
      <c r="E54" s="45"/>
      <c r="F54" s="45"/>
      <c r="G54" s="44">
        <f>ROUND(SUM(G50:G53),5)</f>
        <v>30000</v>
      </c>
      <c r="H54" s="44"/>
      <c r="I54" s="44">
        <f>ROUND(SUM(I43:I53),5)</f>
        <v>95</v>
      </c>
      <c r="J54" s="45"/>
      <c r="K54" s="44">
        <f>ROUND(SUM(K43:K53),5)</f>
        <v>1000</v>
      </c>
      <c r="L54" s="45"/>
      <c r="M54" s="46">
        <f>ROUND(IF(K54=0, IF(I54=0, 0, 1), I54/K54),5)</f>
        <v>9.5000000000000001E-2</v>
      </c>
      <c r="N54" s="7"/>
      <c r="O54" s="7"/>
      <c r="P54" s="44">
        <f>ROUND(SUM(P50:P53),5)</f>
        <v>13709.45</v>
      </c>
      <c r="Q54" s="9">
        <v>0</v>
      </c>
      <c r="R54" s="9"/>
      <c r="S54" s="9">
        <f>ROUND(SUM(S50:S53),5)</f>
        <v>15331.45</v>
      </c>
      <c r="T54" s="9">
        <f>ROUND(SUM(T50:T53),5)</f>
        <v>10000</v>
      </c>
      <c r="U54" s="16"/>
      <c r="V54" s="71">
        <f>ROUND(SUM(V50:V53),5)</f>
        <v>18921.87</v>
      </c>
      <c r="W54" s="9">
        <f>ROUND(SUM(W50:W53),5)</f>
        <v>10000</v>
      </c>
      <c r="Y54" s="71">
        <f>ROUND(SUM(Y50:Y53),5)</f>
        <v>15000</v>
      </c>
      <c r="Z54" s="86"/>
    </row>
    <row r="55" spans="1:28" x14ac:dyDescent="0.3">
      <c r="A55" s="18"/>
      <c r="B55" s="18"/>
      <c r="C55" s="18"/>
      <c r="D55" s="27"/>
      <c r="E55" s="28"/>
      <c r="F55" s="28"/>
      <c r="G55" s="27"/>
      <c r="H55" s="27"/>
      <c r="I55" s="27"/>
      <c r="J55" s="28"/>
      <c r="K55" s="27"/>
      <c r="L55" s="28"/>
      <c r="M55" s="29"/>
      <c r="P55" s="32"/>
      <c r="Q55" s="30"/>
      <c r="R55" s="30"/>
      <c r="S55" s="30"/>
      <c r="T55" s="31"/>
      <c r="U55" s="16"/>
      <c r="W55" s="30"/>
      <c r="Z55" s="86"/>
    </row>
    <row r="56" spans="1:28" x14ac:dyDescent="0.3">
      <c r="A56" s="18"/>
      <c r="B56" s="18"/>
      <c r="C56" s="18"/>
      <c r="D56" s="27"/>
      <c r="E56" s="28"/>
      <c r="F56" s="28"/>
      <c r="G56" s="27"/>
      <c r="H56" s="27"/>
      <c r="I56" s="27"/>
      <c r="J56" s="28"/>
      <c r="K56" s="27"/>
      <c r="L56" s="28"/>
      <c r="M56" s="29"/>
      <c r="P56" s="32"/>
      <c r="Q56" s="30"/>
      <c r="R56" s="30"/>
      <c r="S56" s="30"/>
      <c r="T56" s="31"/>
      <c r="U56" s="16"/>
      <c r="W56" s="30"/>
      <c r="Z56" s="86"/>
    </row>
    <row r="57" spans="1:28" x14ac:dyDescent="0.3">
      <c r="A57" s="18" t="s">
        <v>38</v>
      </c>
      <c r="B57" s="18"/>
      <c r="C57" s="18"/>
      <c r="D57" s="27">
        <v>58500</v>
      </c>
      <c r="E57" s="28"/>
      <c r="F57" s="28"/>
      <c r="G57" s="27">
        <v>58500</v>
      </c>
      <c r="H57" s="27"/>
      <c r="I57" s="27">
        <v>68974</v>
      </c>
      <c r="J57" s="28"/>
      <c r="K57" s="27">
        <v>68974</v>
      </c>
      <c r="L57" s="28"/>
      <c r="M57" s="29">
        <f>ROUND(IF(K57=0, IF(I57=0, 0, 1), I57/K57),5)</f>
        <v>1</v>
      </c>
      <c r="P57" s="32">
        <v>68500</v>
      </c>
      <c r="Q57" s="30">
        <v>68000</v>
      </c>
      <c r="R57" s="30"/>
      <c r="S57" s="30">
        <v>68500</v>
      </c>
      <c r="T57" s="31">
        <v>68500</v>
      </c>
      <c r="U57" s="16"/>
      <c r="V57" s="84">
        <v>70500</v>
      </c>
      <c r="W57" s="30">
        <v>70700</v>
      </c>
      <c r="Y57" s="32">
        <v>71800</v>
      </c>
      <c r="Z57" s="86"/>
    </row>
    <row r="58" spans="1:28" ht="16.2" thickBot="1" x14ac:dyDescent="0.35">
      <c r="A58" s="18" t="s">
        <v>39</v>
      </c>
      <c r="B58" s="18"/>
      <c r="C58" s="18"/>
      <c r="D58" s="27">
        <v>79.17</v>
      </c>
      <c r="E58" s="28"/>
      <c r="F58" s="28"/>
      <c r="G58" s="27">
        <v>100</v>
      </c>
      <c r="H58" s="27"/>
      <c r="I58" s="27">
        <v>49.67</v>
      </c>
      <c r="J58" s="28"/>
      <c r="K58" s="27">
        <v>100</v>
      </c>
      <c r="L58" s="28"/>
      <c r="M58" s="29">
        <f>ROUND(IF(K58=0, IF(I58=0, 0, 1), I58/K58),5)</f>
        <v>0.49669999999999997</v>
      </c>
      <c r="P58" s="37">
        <v>151.53</v>
      </c>
      <c r="Q58" s="38">
        <v>100</v>
      </c>
      <c r="R58" s="38"/>
      <c r="S58" s="38">
        <v>113.32</v>
      </c>
      <c r="T58" s="39">
        <v>100</v>
      </c>
      <c r="U58" s="16"/>
      <c r="V58" s="84">
        <v>119.69</v>
      </c>
      <c r="W58" s="38">
        <v>100</v>
      </c>
      <c r="Y58" s="32">
        <v>100</v>
      </c>
      <c r="Z58" s="86"/>
    </row>
    <row r="59" spans="1:28" ht="16.8" thickTop="1" thickBot="1" x14ac:dyDescent="0.35">
      <c r="A59" s="18"/>
      <c r="B59" s="18"/>
      <c r="C59" s="18"/>
      <c r="D59" s="41">
        <f>ROUND(SUM(D56:D58),5)</f>
        <v>58579.17</v>
      </c>
      <c r="E59" s="28"/>
      <c r="F59" s="28"/>
      <c r="G59" s="41">
        <f>ROUND(SUM(G56:G58),5)</f>
        <v>58600</v>
      </c>
      <c r="H59" s="27"/>
      <c r="I59" s="41">
        <f>ROUND(SUM(I56:I58),5)</f>
        <v>69023.67</v>
      </c>
      <c r="J59" s="28"/>
      <c r="K59" s="41">
        <f>ROUND(SUM(K56:K58),5)</f>
        <v>69074</v>
      </c>
      <c r="L59" s="28"/>
      <c r="M59" s="49">
        <f>ROUND(IF(K59=0, IF(I59=0, 0, 1), I59/K59),5)</f>
        <v>0.99926999999999999</v>
      </c>
      <c r="P59" s="38">
        <f>+P58+P57</f>
        <v>68651.53</v>
      </c>
      <c r="Q59" s="50">
        <f>+Q58+Q57</f>
        <v>68100</v>
      </c>
      <c r="R59" s="50"/>
      <c r="S59" s="51">
        <f>+S58+S57</f>
        <v>68613.320000000007</v>
      </c>
      <c r="T59" s="51">
        <f>+T58+T57</f>
        <v>68600</v>
      </c>
      <c r="U59" s="16"/>
      <c r="V59" s="72">
        <f>+V58+V57</f>
        <v>70619.69</v>
      </c>
      <c r="W59" s="51">
        <f>+W58+W57</f>
        <v>70800</v>
      </c>
      <c r="Y59" s="75">
        <f>+Y58+Y57</f>
        <v>71900</v>
      </c>
      <c r="Z59" s="86"/>
    </row>
    <row r="60" spans="1:28" x14ac:dyDescent="0.3">
      <c r="A60" s="18"/>
      <c r="B60" s="18"/>
      <c r="C60" s="18"/>
      <c r="D60" s="27"/>
      <c r="E60" s="28"/>
      <c r="F60" s="28"/>
      <c r="G60" s="27"/>
      <c r="H60" s="27"/>
      <c r="I60" s="27"/>
      <c r="J60" s="28"/>
      <c r="K60" s="27"/>
      <c r="L60" s="28"/>
      <c r="M60" s="29"/>
      <c r="P60" s="32"/>
      <c r="Q60" s="30"/>
      <c r="R60" s="30"/>
      <c r="S60" s="31"/>
      <c r="T60" s="31"/>
      <c r="U60" s="16"/>
      <c r="W60" s="30"/>
      <c r="Z60" s="86"/>
    </row>
    <row r="61" spans="1:28" x14ac:dyDescent="0.3">
      <c r="A61" s="18" t="s">
        <v>40</v>
      </c>
      <c r="B61" s="18"/>
      <c r="C61" s="18"/>
      <c r="D61" s="27"/>
      <c r="E61" s="28"/>
      <c r="F61" s="28"/>
      <c r="G61" s="27"/>
      <c r="H61" s="27"/>
      <c r="I61" s="27"/>
      <c r="J61" s="28"/>
      <c r="K61" s="27"/>
      <c r="L61" s="28"/>
      <c r="M61" s="29"/>
      <c r="P61" s="32">
        <v>10000</v>
      </c>
      <c r="Q61" s="30"/>
      <c r="R61" s="30"/>
      <c r="S61" s="31">
        <v>25</v>
      </c>
      <c r="T61" s="31"/>
      <c r="U61" s="16"/>
      <c r="W61" s="30"/>
      <c r="Z61" s="86"/>
    </row>
    <row r="62" spans="1:28" ht="16.2" thickBot="1" x14ac:dyDescent="0.35">
      <c r="A62" s="18"/>
      <c r="B62" s="18"/>
      <c r="C62" s="18"/>
      <c r="D62" s="27"/>
      <c r="E62" s="28"/>
      <c r="F62" s="28"/>
      <c r="G62" s="27"/>
      <c r="H62" s="27"/>
      <c r="I62" s="35"/>
      <c r="J62" s="36"/>
      <c r="K62" s="35"/>
      <c r="L62" s="36"/>
      <c r="M62" s="52"/>
      <c r="N62" s="53"/>
      <c r="O62" s="53"/>
      <c r="P62" s="37"/>
      <c r="Q62" s="38"/>
      <c r="R62" s="38"/>
      <c r="S62" s="38"/>
      <c r="T62" s="39"/>
      <c r="U62" s="16"/>
      <c r="W62" s="38"/>
      <c r="Y62" s="37"/>
      <c r="Z62" s="86"/>
    </row>
    <row r="63" spans="1:28" ht="16.2" thickTop="1" x14ac:dyDescent="0.3">
      <c r="A63" s="18" t="s">
        <v>41</v>
      </c>
      <c r="B63" s="18"/>
      <c r="C63" s="18"/>
      <c r="D63" s="27">
        <f>ROUND(D5+D22+D41+D49+D54+D59,5)</f>
        <v>621746.11</v>
      </c>
      <c r="E63" s="28"/>
      <c r="F63" s="28"/>
      <c r="G63" s="27">
        <f>ROUND(G5+G22+G41+G49+G54+G59,5)</f>
        <v>621450</v>
      </c>
      <c r="H63" s="27"/>
      <c r="I63" s="27">
        <f>ROUND(I5+I30+I41+I54+I59,5)</f>
        <v>558117.86</v>
      </c>
      <c r="J63" s="28"/>
      <c r="K63" s="27">
        <f>ROUND(K5+K30+K41+K54+K59,5)</f>
        <v>569799</v>
      </c>
      <c r="L63" s="28"/>
      <c r="M63" s="29">
        <f>ROUND(IF(K63=0, IF(I63=0, 0, 1), I63/K63),5)</f>
        <v>0.97950000000000004</v>
      </c>
      <c r="P63" s="54">
        <f>+P30+P41+P49+P54+P59+P61</f>
        <v>575610.43000000005</v>
      </c>
      <c r="Q63" s="54">
        <f>+Q13+Q19+Q41+Q54+Q59</f>
        <v>537325</v>
      </c>
      <c r="R63" s="54"/>
      <c r="S63" s="55">
        <f>+S30+S41+S54+S59+S61</f>
        <v>591259.32000000007</v>
      </c>
      <c r="T63" s="55">
        <f>+T13+T19+T41+T54+T59</f>
        <v>594221.72</v>
      </c>
      <c r="U63" s="16"/>
      <c r="V63" s="73">
        <f>+V30+V41+V54+V59+V61</f>
        <v>654491.53</v>
      </c>
      <c r="W63" s="55">
        <f>+W13+W19+W41+W54+W59</f>
        <v>612050</v>
      </c>
      <c r="Y63" s="76">
        <f>+Y30+Y41+Y54+Y59+Y61</f>
        <v>671375</v>
      </c>
      <c r="Z63" s="86"/>
      <c r="AA63" s="32">
        <f>+(Y63-Y59)*0.11</f>
        <v>65942.25</v>
      </c>
      <c r="AB63">
        <f>+(Y63-Y59)*0.11</f>
        <v>65942.25</v>
      </c>
    </row>
    <row r="64" spans="1:28" x14ac:dyDescent="0.3">
      <c r="A64" s="18"/>
      <c r="B64" s="18"/>
      <c r="C64" s="18"/>
      <c r="D64" s="27"/>
      <c r="E64" s="28"/>
      <c r="F64" s="28"/>
      <c r="G64" s="27"/>
      <c r="H64" s="27"/>
      <c r="I64" s="27"/>
      <c r="J64" s="28"/>
      <c r="K64" s="27"/>
      <c r="L64" s="28"/>
      <c r="M64" s="29"/>
      <c r="P64" s="54"/>
      <c r="Q64" s="54"/>
      <c r="R64" s="54"/>
      <c r="S64" s="55"/>
      <c r="T64" s="55"/>
      <c r="U64" s="16"/>
      <c r="W64" s="55"/>
      <c r="Z64" s="86"/>
    </row>
    <row r="65" spans="1:29" x14ac:dyDescent="0.3">
      <c r="A65" s="18"/>
      <c r="B65" s="18"/>
      <c r="C65" s="18"/>
      <c r="D65" s="27"/>
      <c r="E65" s="28"/>
      <c r="F65" s="28"/>
      <c r="G65" s="27"/>
      <c r="H65" s="27"/>
      <c r="I65" s="27"/>
      <c r="J65" s="28"/>
      <c r="K65" s="27"/>
      <c r="L65" s="28"/>
      <c r="M65" s="29"/>
      <c r="P65" s="32"/>
      <c r="Q65" s="30"/>
      <c r="R65" s="30"/>
      <c r="S65" s="30"/>
      <c r="T65" s="31"/>
      <c r="U65" s="16"/>
      <c r="W65" s="30"/>
      <c r="Z65" s="86"/>
    </row>
    <row r="66" spans="1:29" x14ac:dyDescent="0.3">
      <c r="A66" s="18" t="s">
        <v>170</v>
      </c>
      <c r="B66" s="18"/>
      <c r="C66" s="18"/>
      <c r="D66" s="27"/>
      <c r="E66" s="28"/>
      <c r="F66" s="28"/>
      <c r="G66" s="27"/>
      <c r="H66" s="27"/>
      <c r="I66" s="27"/>
      <c r="J66" s="28"/>
      <c r="K66" s="27"/>
      <c r="L66" s="28"/>
      <c r="M66" s="29"/>
      <c r="P66" s="32"/>
      <c r="Q66" s="30"/>
      <c r="R66" s="30"/>
      <c r="S66" s="30"/>
      <c r="T66" s="31"/>
      <c r="U66" s="16"/>
      <c r="V66" s="84">
        <v>21650</v>
      </c>
      <c r="W66" s="30">
        <f>0.04*(W63-W59)</f>
        <v>21650</v>
      </c>
      <c r="Y66" s="30">
        <f>0.04*(Y63-Y59)</f>
        <v>23979</v>
      </c>
      <c r="Z66" s="86"/>
      <c r="AA66" s="77">
        <f>+W66/W69</f>
        <v>0.36363636363636365</v>
      </c>
      <c r="AB66">
        <f>+(Y63-Y59)*0.04</f>
        <v>23979</v>
      </c>
      <c r="AC66" s="77">
        <f>+AB66/AB63</f>
        <v>0.36363636363636365</v>
      </c>
    </row>
    <row r="67" spans="1:29" ht="16.2" thickBot="1" x14ac:dyDescent="0.35">
      <c r="A67" s="18" t="s">
        <v>171</v>
      </c>
      <c r="B67" s="18"/>
      <c r="C67" s="18"/>
      <c r="D67" s="33">
        <v>57100</v>
      </c>
      <c r="E67" s="28"/>
      <c r="F67" s="28"/>
      <c r="G67" s="33">
        <v>58000</v>
      </c>
      <c r="H67" s="27"/>
      <c r="I67" s="33">
        <v>46500</v>
      </c>
      <c r="J67" s="28"/>
      <c r="K67" s="33">
        <v>46500</v>
      </c>
      <c r="L67" s="28"/>
      <c r="M67" s="34">
        <f>ROUND(IF(K67=0, IF(I67=0, 0, 1), I67/K67),5)</f>
        <v>1</v>
      </c>
      <c r="P67" s="37">
        <v>48000</v>
      </c>
      <c r="Q67" s="38">
        <v>48000</v>
      </c>
      <c r="R67" s="38"/>
      <c r="S67" s="38">
        <v>48000</v>
      </c>
      <c r="T67" s="39">
        <v>48000</v>
      </c>
      <c r="U67" s="16"/>
      <c r="V67" s="84">
        <v>41552.46</v>
      </c>
      <c r="W67" s="38">
        <f>0.07*(W63-W59)</f>
        <v>37887.5</v>
      </c>
      <c r="Y67" s="30">
        <f>0.07*(Y63-Y59)</f>
        <v>41963.250000000007</v>
      </c>
      <c r="Z67" s="86"/>
      <c r="AA67" s="77">
        <f>W67/W69</f>
        <v>0.63636363636363635</v>
      </c>
      <c r="AB67">
        <f>+(Y63-Y59)*0.07</f>
        <v>41963.250000000007</v>
      </c>
      <c r="AC67" s="77">
        <f>+AB67/AB63</f>
        <v>0.63636363636363646</v>
      </c>
    </row>
    <row r="68" spans="1:29" ht="16.2" thickTop="1" x14ac:dyDescent="0.3">
      <c r="A68" s="18"/>
      <c r="B68" s="18" t="s">
        <v>161</v>
      </c>
      <c r="C68" s="18"/>
      <c r="D68" s="27"/>
      <c r="E68" s="28"/>
      <c r="F68" s="28"/>
      <c r="G68" s="27"/>
      <c r="H68" s="27"/>
      <c r="I68" s="27"/>
      <c r="J68" s="28"/>
      <c r="K68" s="27"/>
      <c r="L68" s="28"/>
      <c r="M68" s="29"/>
      <c r="P68" s="32"/>
      <c r="Q68" s="30"/>
      <c r="R68" s="30"/>
      <c r="S68" s="30">
        <v>1600</v>
      </c>
      <c r="T68" s="31"/>
      <c r="U68" s="16"/>
      <c r="V68" s="74"/>
      <c r="W68" s="30"/>
      <c r="Y68" s="78"/>
      <c r="Z68" s="86"/>
    </row>
    <row r="69" spans="1:29" x14ac:dyDescent="0.3">
      <c r="A69" s="18"/>
      <c r="B69" s="18"/>
      <c r="C69" s="18"/>
      <c r="D69" s="27">
        <f>ROUND(SUM(D66:D67),5)</f>
        <v>57100</v>
      </c>
      <c r="E69" s="28"/>
      <c r="F69" s="28"/>
      <c r="G69" s="27">
        <f>ROUND(SUM(G66:G67),5)</f>
        <v>58000</v>
      </c>
      <c r="H69" s="27"/>
      <c r="I69" s="27">
        <f>ROUND(SUM(I66:I67),5)</f>
        <v>46500</v>
      </c>
      <c r="J69" s="28"/>
      <c r="K69" s="27">
        <f>ROUND(SUM(K66:K67),5)</f>
        <v>46500</v>
      </c>
      <c r="L69" s="28"/>
      <c r="M69" s="29">
        <f>ROUND(IF(K69=0, IF(I69=0, 0, 1), I69/K69),5)</f>
        <v>1</v>
      </c>
      <c r="P69" s="30">
        <f>+P67</f>
        <v>48000</v>
      </c>
      <c r="Q69" s="30">
        <f>+Q67</f>
        <v>48000</v>
      </c>
      <c r="R69" s="30"/>
      <c r="S69" s="31">
        <f>+S67+S68</f>
        <v>49600</v>
      </c>
      <c r="T69" s="31">
        <f>+T67</f>
        <v>48000</v>
      </c>
      <c r="U69" s="16"/>
      <c r="V69" s="65">
        <f>+V67+V66</f>
        <v>63202.46</v>
      </c>
      <c r="W69" s="31">
        <f>+W67+W66</f>
        <v>59537.5</v>
      </c>
      <c r="Y69" s="65">
        <f>+Y66+Y67</f>
        <v>65942.25</v>
      </c>
      <c r="Z69" s="86"/>
    </row>
    <row r="70" spans="1:29" x14ac:dyDescent="0.3">
      <c r="A70" s="18"/>
      <c r="B70" s="18"/>
      <c r="C70" s="18"/>
      <c r="D70" s="27"/>
      <c r="E70" s="28"/>
      <c r="F70" s="28"/>
      <c r="G70" s="27"/>
      <c r="H70" s="27"/>
      <c r="I70" s="27"/>
      <c r="J70" s="28"/>
      <c r="K70" s="27"/>
      <c r="L70" s="28"/>
      <c r="M70" s="29"/>
      <c r="P70" s="32"/>
      <c r="Q70" s="30"/>
      <c r="R70" s="30"/>
      <c r="S70" s="30"/>
      <c r="T70" s="31"/>
      <c r="U70" s="16"/>
      <c r="W70" s="30"/>
      <c r="Z70" s="86"/>
    </row>
    <row r="71" spans="1:29" x14ac:dyDescent="0.3">
      <c r="A71" s="18"/>
      <c r="B71" s="18"/>
      <c r="C71" s="18"/>
      <c r="D71" s="27"/>
      <c r="E71" s="28"/>
      <c r="F71" s="28"/>
      <c r="G71" s="27"/>
      <c r="H71" s="27"/>
      <c r="I71" s="27"/>
      <c r="J71" s="28"/>
      <c r="K71" s="27"/>
      <c r="L71" s="28"/>
      <c r="M71" s="29"/>
      <c r="P71" s="32"/>
      <c r="Q71" s="30"/>
      <c r="R71" s="30"/>
      <c r="S71" s="30"/>
      <c r="T71" s="31"/>
      <c r="U71" s="16"/>
      <c r="W71" s="30"/>
      <c r="Z71" s="86"/>
    </row>
    <row r="72" spans="1:29" x14ac:dyDescent="0.3">
      <c r="A72" s="18" t="s">
        <v>42</v>
      </c>
      <c r="B72" s="18"/>
      <c r="C72" s="18"/>
      <c r="D72" s="27">
        <v>4999.51</v>
      </c>
      <c r="E72" s="28"/>
      <c r="F72" s="28"/>
      <c r="G72" s="27">
        <v>5000</v>
      </c>
      <c r="H72" s="27"/>
      <c r="I72" s="27">
        <v>4459.7299999999996</v>
      </c>
      <c r="J72" s="28"/>
      <c r="K72" s="27">
        <v>5000</v>
      </c>
      <c r="L72" s="28"/>
      <c r="M72" s="29">
        <f>ROUND(IF(K72=0, IF(I72=0, 0, 1), I72/K72),5)</f>
        <v>0.89195000000000002</v>
      </c>
      <c r="P72" s="32">
        <v>5238.4399999999996</v>
      </c>
      <c r="Q72" s="30">
        <v>4500</v>
      </c>
      <c r="R72" s="30"/>
      <c r="S72" s="30">
        <v>5087.78</v>
      </c>
      <c r="T72" s="31">
        <v>5100</v>
      </c>
      <c r="U72" s="16"/>
      <c r="V72" s="84">
        <v>6201.09</v>
      </c>
      <c r="W72" s="30">
        <v>5100</v>
      </c>
      <c r="Y72" s="32">
        <v>6200</v>
      </c>
      <c r="Z72" s="86"/>
    </row>
    <row r="73" spans="1:29" ht="16.2" thickBot="1" x14ac:dyDescent="0.35">
      <c r="A73" s="18" t="s">
        <v>43</v>
      </c>
      <c r="B73" s="18"/>
      <c r="C73" s="18"/>
      <c r="D73" s="27"/>
      <c r="E73" s="28"/>
      <c r="F73" s="28"/>
      <c r="G73" s="27"/>
      <c r="H73" s="33"/>
      <c r="I73" s="27">
        <v>2040</v>
      </c>
      <c r="J73" s="28"/>
      <c r="K73" s="27">
        <v>3000</v>
      </c>
      <c r="L73" s="28"/>
      <c r="M73" s="29">
        <f>ROUND(IF(K73=0, IF(I73=0, 0, 1), I73/K73),5)</f>
        <v>0.68</v>
      </c>
      <c r="P73" s="32">
        <v>2040</v>
      </c>
      <c r="Q73" s="30">
        <v>2500</v>
      </c>
      <c r="R73" s="30"/>
      <c r="S73" s="30">
        <v>2040</v>
      </c>
      <c r="T73" s="31">
        <v>2000</v>
      </c>
      <c r="U73" s="16"/>
      <c r="V73" s="84">
        <v>2040</v>
      </c>
      <c r="W73" s="30">
        <v>2000</v>
      </c>
      <c r="Y73" s="32">
        <v>2000</v>
      </c>
      <c r="Z73" s="86"/>
    </row>
    <row r="74" spans="1:29" x14ac:dyDescent="0.3">
      <c r="A74" s="18" t="s">
        <v>44</v>
      </c>
      <c r="B74" s="18"/>
      <c r="C74" s="18"/>
      <c r="D74" s="27"/>
      <c r="E74" s="28"/>
      <c r="F74" s="28"/>
      <c r="G74" s="27"/>
      <c r="H74" s="27"/>
      <c r="I74" s="27"/>
      <c r="J74" s="28"/>
      <c r="K74" s="27"/>
      <c r="L74" s="28"/>
      <c r="M74" s="29"/>
      <c r="P74" s="32"/>
      <c r="Q74" s="30"/>
      <c r="R74" s="30"/>
      <c r="S74" s="30"/>
      <c r="T74" s="31"/>
      <c r="U74" s="16"/>
      <c r="V74" s="84"/>
      <c r="W74" s="30"/>
      <c r="Z74" s="86"/>
    </row>
    <row r="75" spans="1:29" x14ac:dyDescent="0.3">
      <c r="A75" s="18"/>
      <c r="B75" s="18" t="s">
        <v>45</v>
      </c>
      <c r="C75" s="18"/>
      <c r="D75" s="27"/>
      <c r="E75" s="28"/>
      <c r="F75" s="28"/>
      <c r="G75" s="27"/>
      <c r="H75" s="27"/>
      <c r="I75" s="27">
        <v>2679.61</v>
      </c>
      <c r="J75" s="28"/>
      <c r="K75" s="27">
        <v>3000</v>
      </c>
      <c r="L75" s="28"/>
      <c r="M75" s="29">
        <f>ROUND(IF(K75=0, IF(I75=0, 0, 1), I75/K75),5)</f>
        <v>0.89319999999999999</v>
      </c>
      <c r="P75" s="32">
        <v>3495.02</v>
      </c>
      <c r="Q75" s="30">
        <v>3000</v>
      </c>
      <c r="R75" s="30"/>
      <c r="S75" s="30">
        <f>2501.56+1054</f>
        <v>3555.56</v>
      </c>
      <c r="T75" s="31">
        <v>3500</v>
      </c>
      <c r="U75" s="16"/>
      <c r="V75" s="84">
        <v>1656.14</v>
      </c>
      <c r="W75" s="30">
        <v>3500</v>
      </c>
      <c r="Y75" s="32">
        <v>1700</v>
      </c>
      <c r="Z75" s="86"/>
    </row>
    <row r="76" spans="1:29" x14ac:dyDescent="0.3">
      <c r="A76" s="18"/>
      <c r="B76" s="18" t="s">
        <v>46</v>
      </c>
      <c r="C76" s="18"/>
      <c r="D76" s="27"/>
      <c r="E76" s="28"/>
      <c r="F76" s="28"/>
      <c r="G76" s="27"/>
      <c r="H76" s="27"/>
      <c r="I76" s="27">
        <v>5255.78</v>
      </c>
      <c r="J76" s="28"/>
      <c r="K76" s="27">
        <v>4000</v>
      </c>
      <c r="L76" s="28"/>
      <c r="M76" s="29">
        <f>ROUND(IF(K76=0, IF(I76=0, 0, 1), I76/K76),5)</f>
        <v>1.31395</v>
      </c>
      <c r="P76" s="32">
        <v>5420.72</v>
      </c>
      <c r="Q76" s="30">
        <v>5000</v>
      </c>
      <c r="R76" s="30"/>
      <c r="S76" s="30">
        <v>6087.09</v>
      </c>
      <c r="T76" s="31">
        <v>5500</v>
      </c>
      <c r="U76" s="16"/>
      <c r="V76" s="84">
        <v>5745.17</v>
      </c>
      <c r="W76" s="30">
        <v>6000</v>
      </c>
      <c r="Y76" s="32">
        <v>5800</v>
      </c>
      <c r="Z76" s="86"/>
    </row>
    <row r="77" spans="1:29" x14ac:dyDescent="0.3">
      <c r="A77" s="18"/>
      <c r="B77" s="18" t="s">
        <v>47</v>
      </c>
      <c r="C77" s="18"/>
      <c r="D77" s="27"/>
      <c r="E77" s="28"/>
      <c r="F77" s="28"/>
      <c r="G77" s="27"/>
      <c r="H77" s="27"/>
      <c r="I77" s="27">
        <v>893.35</v>
      </c>
      <c r="J77" s="28"/>
      <c r="K77" s="27">
        <v>1000</v>
      </c>
      <c r="L77" s="28"/>
      <c r="M77" s="29">
        <f>ROUND(IF(K77=0, IF(I77=0, 0, 1), I77/K77),5)</f>
        <v>0.89334999999999998</v>
      </c>
      <c r="P77" s="32">
        <v>480</v>
      </c>
      <c r="Q77" s="30">
        <v>1000</v>
      </c>
      <c r="R77" s="30"/>
      <c r="S77" s="30">
        <v>956.25</v>
      </c>
      <c r="T77" s="31">
        <v>500</v>
      </c>
      <c r="U77" s="16"/>
      <c r="V77" s="84">
        <v>1125</v>
      </c>
      <c r="W77" s="30">
        <v>1000</v>
      </c>
      <c r="Y77" s="32">
        <v>1200</v>
      </c>
      <c r="Z77" s="86"/>
    </row>
    <row r="78" spans="1:29" ht="16.2" thickBot="1" x14ac:dyDescent="0.35">
      <c r="A78" s="18"/>
      <c r="B78" s="18" t="s">
        <v>9</v>
      </c>
      <c r="C78" s="18"/>
      <c r="D78" s="27"/>
      <c r="E78" s="28"/>
      <c r="F78" s="28"/>
      <c r="G78" s="27"/>
      <c r="H78" s="27"/>
      <c r="I78" s="33"/>
      <c r="J78" s="56"/>
      <c r="K78" s="33"/>
      <c r="L78" s="56"/>
      <c r="M78" s="34"/>
      <c r="N78" s="57"/>
      <c r="O78" s="57"/>
      <c r="P78" s="58"/>
      <c r="Q78" s="59"/>
      <c r="R78" s="59"/>
      <c r="S78" s="59"/>
      <c r="T78" s="60"/>
      <c r="U78" s="16"/>
      <c r="V78" s="84">
        <v>1584</v>
      </c>
      <c r="W78" s="38"/>
      <c r="Y78" s="32">
        <v>1500</v>
      </c>
      <c r="Z78" s="86"/>
    </row>
    <row r="79" spans="1:29" ht="16.2" thickTop="1" x14ac:dyDescent="0.3">
      <c r="A79" s="18" t="s">
        <v>48</v>
      </c>
      <c r="B79" s="18"/>
      <c r="C79" s="18"/>
      <c r="D79" s="27">
        <v>11998.65</v>
      </c>
      <c r="E79" s="28"/>
      <c r="F79" s="28"/>
      <c r="G79" s="27">
        <v>9000</v>
      </c>
      <c r="H79" s="27"/>
      <c r="I79" s="27">
        <f>ROUND(SUM(I74:I77),5)</f>
        <v>8828.74</v>
      </c>
      <c r="J79" s="28"/>
      <c r="K79" s="27">
        <f>ROUND(SUM(K74:K77),5)</f>
        <v>8000</v>
      </c>
      <c r="L79" s="28"/>
      <c r="M79" s="29">
        <f>ROUND(IF(K79=0, IF(I79=0, 0, 1), I79/K79),5)</f>
        <v>1.1035900000000001</v>
      </c>
      <c r="P79" s="30">
        <f>+SUM(P75:P77)</f>
        <v>9395.74</v>
      </c>
      <c r="Q79" s="30">
        <f>+SUM(Q75:Q77)</f>
        <v>9000</v>
      </c>
      <c r="R79" s="30"/>
      <c r="S79" s="31">
        <f>+SUM(S75:S78)</f>
        <v>10598.9</v>
      </c>
      <c r="T79" s="31">
        <f>+SUM(T75:T77)</f>
        <v>9500</v>
      </c>
      <c r="U79" s="16"/>
      <c r="V79" s="70">
        <f>+SUM(V75:V78)</f>
        <v>10110.310000000001</v>
      </c>
      <c r="W79" s="31">
        <f>+SUM(W75:W78)</f>
        <v>10500</v>
      </c>
      <c r="Y79" s="70">
        <f>+SUM(Y75:Y78)</f>
        <v>10200</v>
      </c>
      <c r="Z79" s="86"/>
    </row>
    <row r="80" spans="1:29" x14ac:dyDescent="0.3">
      <c r="A80" s="18" t="s">
        <v>49</v>
      </c>
      <c r="B80" s="18"/>
      <c r="C80" s="18"/>
      <c r="D80" s="27"/>
      <c r="E80" s="28"/>
      <c r="F80" s="28"/>
      <c r="G80" s="27"/>
      <c r="H80" s="27"/>
      <c r="I80" s="27">
        <v>4632.32</v>
      </c>
      <c r="J80" s="28"/>
      <c r="K80" s="27"/>
      <c r="L80" s="28"/>
      <c r="M80" s="29"/>
      <c r="P80" s="32"/>
      <c r="Q80" s="30"/>
      <c r="R80" s="30"/>
      <c r="S80" s="30"/>
      <c r="T80" s="31"/>
      <c r="U80" s="16"/>
      <c r="W80" s="30"/>
      <c r="Z80" s="86"/>
    </row>
    <row r="81" spans="1:26" x14ac:dyDescent="0.3">
      <c r="A81" s="18" t="s">
        <v>50</v>
      </c>
      <c r="B81" s="18"/>
      <c r="C81" s="18"/>
      <c r="D81" s="27">
        <v>5000</v>
      </c>
      <c r="E81" s="28"/>
      <c r="F81" s="28"/>
      <c r="G81" s="27">
        <v>5000</v>
      </c>
      <c r="H81" s="27"/>
      <c r="I81" s="27">
        <v>5018.88</v>
      </c>
      <c r="J81" s="28"/>
      <c r="K81" s="27">
        <v>5000</v>
      </c>
      <c r="L81" s="28"/>
      <c r="M81" s="29">
        <f>ROUND(IF(K81=0, IF(I81=0, 0, 1), I81/K81),5)</f>
        <v>1.0037799999999999</v>
      </c>
      <c r="P81" s="32">
        <v>5320.08</v>
      </c>
      <c r="Q81" s="30">
        <v>5000</v>
      </c>
      <c r="R81" s="30"/>
      <c r="S81" s="30">
        <v>5532.723</v>
      </c>
      <c r="T81" s="31">
        <v>5300</v>
      </c>
      <c r="U81" s="16"/>
      <c r="V81" s="84">
        <v>5671</v>
      </c>
      <c r="W81" s="30">
        <v>5432.5</v>
      </c>
      <c r="Y81" s="32">
        <f>+V81*1.027</f>
        <v>5824.1169999999993</v>
      </c>
      <c r="Z81" s="86"/>
    </row>
    <row r="82" spans="1:26" x14ac:dyDescent="0.3">
      <c r="A82" s="18" t="s">
        <v>51</v>
      </c>
      <c r="B82" s="18"/>
      <c r="C82" s="18"/>
      <c r="D82" s="27"/>
      <c r="E82" s="28"/>
      <c r="F82" s="28"/>
      <c r="G82" s="27"/>
      <c r="H82" s="27"/>
      <c r="I82" s="27"/>
      <c r="J82" s="28"/>
      <c r="K82" s="27"/>
      <c r="L82" s="28"/>
      <c r="M82" s="29"/>
      <c r="P82" s="32"/>
      <c r="Q82" s="30"/>
      <c r="R82" s="30"/>
      <c r="S82" s="30"/>
      <c r="T82" s="31"/>
      <c r="U82" s="16"/>
      <c r="V82" s="84"/>
      <c r="W82" s="30"/>
      <c r="Z82" s="86"/>
    </row>
    <row r="83" spans="1:26" ht="16.2" thickBot="1" x14ac:dyDescent="0.35">
      <c r="A83" s="18"/>
      <c r="B83" s="18" t="s">
        <v>52</v>
      </c>
      <c r="C83" s="18"/>
      <c r="D83" s="33">
        <v>26697</v>
      </c>
      <c r="E83" s="28"/>
      <c r="F83" s="28"/>
      <c r="G83" s="33">
        <v>29000</v>
      </c>
      <c r="H83" s="27"/>
      <c r="I83" s="27">
        <v>41951.5</v>
      </c>
      <c r="J83" s="28"/>
      <c r="K83" s="27">
        <v>40000</v>
      </c>
      <c r="L83" s="28"/>
      <c r="M83" s="29">
        <f>ROUND(IF(K83=0, IF(I83=0, 0, 1), I83/K83),5)</f>
        <v>1.0487899999999999</v>
      </c>
      <c r="P83" s="32">
        <v>43578</v>
      </c>
      <c r="Q83" s="30">
        <v>42000</v>
      </c>
      <c r="R83" s="30"/>
      <c r="S83" s="30">
        <v>48499.25</v>
      </c>
      <c r="T83" s="31">
        <v>44000</v>
      </c>
      <c r="U83" s="16"/>
      <c r="V83" s="84">
        <v>52330.25</v>
      </c>
      <c r="W83" s="30">
        <v>46000</v>
      </c>
      <c r="Y83" s="32">
        <f>52000*1.04</f>
        <v>54080</v>
      </c>
      <c r="Z83" s="86"/>
    </row>
    <row r="84" spans="1:26" ht="16.2" thickBot="1" x14ac:dyDescent="0.35">
      <c r="A84" s="18"/>
      <c r="B84" s="18" t="s">
        <v>53</v>
      </c>
      <c r="C84" s="18"/>
      <c r="D84" s="27">
        <v>1987</v>
      </c>
      <c r="E84" s="28"/>
      <c r="F84" s="28"/>
      <c r="G84" s="27"/>
      <c r="H84" s="27"/>
      <c r="I84" s="33">
        <v>2599</v>
      </c>
      <c r="J84" s="28"/>
      <c r="K84" s="33">
        <v>2500</v>
      </c>
      <c r="L84" s="28"/>
      <c r="M84" s="34">
        <f>ROUND(IF(K84=0, IF(I84=0, 0, 1), I84/K84),5)</f>
        <v>1.0396000000000001</v>
      </c>
      <c r="P84" s="58">
        <v>3452</v>
      </c>
      <c r="Q84" s="38">
        <v>2500</v>
      </c>
      <c r="R84" s="38"/>
      <c r="S84" s="38">
        <v>2803</v>
      </c>
      <c r="T84" s="39">
        <v>3500</v>
      </c>
      <c r="U84" s="16"/>
      <c r="V84" s="84">
        <v>2731</v>
      </c>
      <c r="W84" s="38">
        <v>3200</v>
      </c>
      <c r="Y84" s="32">
        <v>3200</v>
      </c>
      <c r="Z84" s="86"/>
    </row>
    <row r="85" spans="1:26" ht="16.8" thickTop="1" thickBot="1" x14ac:dyDescent="0.35">
      <c r="A85" s="18" t="s">
        <v>54</v>
      </c>
      <c r="B85" s="18"/>
      <c r="C85" s="18"/>
      <c r="D85" s="27">
        <f>ROUND(SUM(D82:D84),5)</f>
        <v>28684</v>
      </c>
      <c r="E85" s="28"/>
      <c r="F85" s="28"/>
      <c r="G85" s="33">
        <v>29000</v>
      </c>
      <c r="H85" s="27"/>
      <c r="I85" s="27">
        <f>ROUND(SUM(I82:I84),5)</f>
        <v>44550.5</v>
      </c>
      <c r="J85" s="28"/>
      <c r="K85" s="27">
        <f>ROUND(SUM(K82:K84),5)</f>
        <v>42500</v>
      </c>
      <c r="L85" s="28"/>
      <c r="M85" s="29">
        <f>ROUND(IF(K85=0, IF(I85=0, 0, 1), I85/K85),5)</f>
        <v>1.0482499999999999</v>
      </c>
      <c r="P85" s="30">
        <f>+P84+P83</f>
        <v>47030</v>
      </c>
      <c r="Q85" s="30">
        <f>+Q84+Q83</f>
        <v>44500</v>
      </c>
      <c r="R85" s="30"/>
      <c r="S85" s="31">
        <f>+S84+S83</f>
        <v>51302.25</v>
      </c>
      <c r="T85" s="31">
        <f>+T84+T83</f>
        <v>47500</v>
      </c>
      <c r="U85" s="16"/>
      <c r="V85" s="70">
        <f>+V84+V83</f>
        <v>55061.25</v>
      </c>
      <c r="W85" s="31">
        <f>+W84+W83</f>
        <v>49200</v>
      </c>
      <c r="Y85" s="70">
        <f>+Y84+Y83</f>
        <v>57280</v>
      </c>
      <c r="Z85" s="86"/>
    </row>
    <row r="86" spans="1:26" x14ac:dyDescent="0.3">
      <c r="A86" s="18"/>
      <c r="B86" s="18"/>
      <c r="C86" s="18"/>
      <c r="D86" s="27"/>
      <c r="E86" s="28"/>
      <c r="F86" s="28"/>
      <c r="G86" s="27"/>
      <c r="H86" s="27"/>
      <c r="I86" s="27"/>
      <c r="J86" s="28"/>
      <c r="K86" s="27"/>
      <c r="L86" s="28"/>
      <c r="M86" s="29"/>
      <c r="P86" s="32"/>
      <c r="Q86" s="30"/>
      <c r="R86" s="30"/>
      <c r="S86" s="30"/>
      <c r="T86" s="31"/>
      <c r="U86" s="16"/>
      <c r="W86" s="30"/>
      <c r="Z86" s="86"/>
    </row>
    <row r="87" spans="1:26" ht="16.2" thickBot="1" x14ac:dyDescent="0.35">
      <c r="A87" s="18" t="s">
        <v>55</v>
      </c>
      <c r="B87" s="18"/>
      <c r="C87" s="18"/>
      <c r="D87" s="33">
        <v>100</v>
      </c>
      <c r="E87" s="28"/>
      <c r="F87" s="28"/>
      <c r="G87" s="33">
        <v>125</v>
      </c>
      <c r="H87" s="27"/>
      <c r="I87" s="27"/>
      <c r="J87" s="28"/>
      <c r="K87" s="27">
        <v>370</v>
      </c>
      <c r="L87" s="28"/>
      <c r="M87" s="29"/>
      <c r="P87" s="32">
        <v>175</v>
      </c>
      <c r="Q87" s="30"/>
      <c r="R87" s="30"/>
      <c r="S87" s="30">
        <v>275</v>
      </c>
      <c r="T87" s="31">
        <v>775</v>
      </c>
      <c r="U87" s="16"/>
      <c r="V87" s="84">
        <v>365.78</v>
      </c>
      <c r="W87" s="30">
        <v>500</v>
      </c>
      <c r="Y87" s="32">
        <v>400</v>
      </c>
      <c r="Z87" s="86"/>
    </row>
    <row r="88" spans="1:26" x14ac:dyDescent="0.3">
      <c r="A88" s="18" t="s">
        <v>56</v>
      </c>
      <c r="B88" s="18"/>
      <c r="C88" s="18"/>
      <c r="D88" s="27"/>
      <c r="E88" s="28"/>
      <c r="F88" s="28"/>
      <c r="G88" s="27"/>
      <c r="H88" s="27"/>
      <c r="I88" s="27"/>
      <c r="J88" s="28"/>
      <c r="K88" s="27"/>
      <c r="L88" s="28"/>
      <c r="M88" s="29"/>
      <c r="P88" s="32">
        <v>729.5</v>
      </c>
      <c r="Q88" s="30"/>
      <c r="R88" s="30"/>
      <c r="S88" s="30">
        <v>19.47</v>
      </c>
      <c r="T88" s="31"/>
      <c r="U88" s="16"/>
      <c r="V88" s="84"/>
      <c r="W88" s="30"/>
      <c r="Z88" s="86"/>
    </row>
    <row r="89" spans="1:26" ht="16.2" thickBot="1" x14ac:dyDescent="0.35">
      <c r="A89" s="18" t="s">
        <v>57</v>
      </c>
      <c r="B89" s="18"/>
      <c r="C89" s="18"/>
      <c r="H89" s="27"/>
      <c r="I89" s="33">
        <v>26954</v>
      </c>
      <c r="J89" s="28"/>
      <c r="K89" s="33"/>
      <c r="L89" s="28"/>
      <c r="M89" s="34"/>
      <c r="P89" s="37"/>
      <c r="Q89" s="38"/>
      <c r="R89" s="38"/>
      <c r="S89" s="38"/>
      <c r="T89" s="39"/>
      <c r="U89" s="16"/>
      <c r="V89" s="84"/>
      <c r="W89" s="38"/>
      <c r="Z89" s="86"/>
    </row>
    <row r="90" spans="1:26" ht="16.2" thickTop="1" x14ac:dyDescent="0.3">
      <c r="A90" s="18" t="s">
        <v>58</v>
      </c>
      <c r="B90" s="18"/>
      <c r="C90" s="18"/>
      <c r="D90" s="27">
        <f>ROUND(SUM(D71:D73)+SUM(D79:D81)+SUM(D85:D89),5)</f>
        <v>50782.16</v>
      </c>
      <c r="E90" s="28"/>
      <c r="F90" s="28"/>
      <c r="G90" s="27">
        <f>ROUND(SUM(G71:G73)+SUM(G79:G81)+SUM(G85:G89),5)</f>
        <v>48125</v>
      </c>
      <c r="H90" s="27"/>
      <c r="I90" s="27">
        <f>ROUND(SUM(I71:I73)+SUM(I79:I81)+SUM(I85:I89),5)</f>
        <v>96484.17</v>
      </c>
      <c r="J90" s="28"/>
      <c r="K90" s="27">
        <f>ROUND(SUM(K71:K73)+SUM(K79:K81)+SUM(K85:K89),5)</f>
        <v>63870</v>
      </c>
      <c r="L90" s="28"/>
      <c r="M90" s="29">
        <f>ROUND(IF(K90=0, IF(I90=0, 0, 1), I90/K90),5)</f>
        <v>1.5106299999999999</v>
      </c>
      <c r="P90" s="30">
        <f>+P85+P81+P79+P73+P72+P87+P88</f>
        <v>69928.759999999995</v>
      </c>
      <c r="Q90" s="30">
        <f>+Q85+Q81+Q79+Q73+Q72+Q87+Q88</f>
        <v>65500</v>
      </c>
      <c r="R90" s="30"/>
      <c r="S90" s="31">
        <f>+S87+S85+S81+S79+S73+S72+S88</f>
        <v>74856.122999999992</v>
      </c>
      <c r="T90" s="31">
        <f>+T87+T85+T81+T79+T73+T72</f>
        <v>70175</v>
      </c>
      <c r="U90" s="16"/>
      <c r="V90" s="70">
        <f>+V87+V85+V81+V79+V73+V72+V88</f>
        <v>79449.429999999993</v>
      </c>
      <c r="W90" s="31">
        <f>+W87+W85+W81+W79+W73+W72</f>
        <v>72732.5</v>
      </c>
      <c r="Y90" s="70">
        <f>+Y87+Y85+Y81+Y79+Y73+Y72</f>
        <v>81904.116999999998</v>
      </c>
      <c r="Z90" s="86"/>
    </row>
    <row r="91" spans="1:26" x14ac:dyDescent="0.3">
      <c r="A91" s="18"/>
      <c r="B91" s="18"/>
      <c r="C91" s="18"/>
      <c r="D91" s="27"/>
      <c r="E91" s="28"/>
      <c r="F91" s="28"/>
      <c r="G91" s="27"/>
      <c r="H91" s="27"/>
      <c r="I91" s="27"/>
      <c r="J91" s="28"/>
      <c r="K91" s="27"/>
      <c r="L91" s="28"/>
      <c r="M91" s="29"/>
      <c r="P91" s="32"/>
      <c r="Q91" s="30"/>
      <c r="R91" s="30"/>
      <c r="S91" s="30"/>
      <c r="T91" s="31"/>
      <c r="U91" s="16"/>
      <c r="W91" s="30"/>
      <c r="Z91" s="86"/>
    </row>
    <row r="92" spans="1:26" x14ac:dyDescent="0.3">
      <c r="A92" s="18"/>
      <c r="B92" s="18"/>
      <c r="C92" s="18"/>
      <c r="D92" s="27"/>
      <c r="E92" s="28"/>
      <c r="F92" s="28"/>
      <c r="G92" s="27"/>
      <c r="H92" s="27"/>
      <c r="I92" s="27"/>
      <c r="J92" s="28"/>
      <c r="K92" s="27"/>
      <c r="L92" s="28"/>
      <c r="M92" s="29"/>
      <c r="P92" s="32"/>
      <c r="Q92" s="30"/>
      <c r="R92" s="30"/>
      <c r="S92" s="30"/>
      <c r="T92" s="31"/>
      <c r="U92" s="16"/>
      <c r="W92" s="30"/>
      <c r="Z92" s="86"/>
    </row>
    <row r="93" spans="1:26" x14ac:dyDescent="0.3">
      <c r="A93" s="18" t="s">
        <v>59</v>
      </c>
      <c r="B93" s="18"/>
      <c r="C93" s="18"/>
      <c r="D93" s="27">
        <v>307.5</v>
      </c>
      <c r="E93" s="28"/>
      <c r="F93" s="28"/>
      <c r="G93" s="27"/>
      <c r="H93" s="27"/>
      <c r="I93" s="27"/>
      <c r="J93" s="28"/>
      <c r="K93" s="27"/>
      <c r="L93" s="28"/>
      <c r="M93" s="29"/>
      <c r="P93" s="32"/>
      <c r="Q93" s="30"/>
      <c r="R93" s="30"/>
      <c r="S93" s="30"/>
      <c r="T93" s="31"/>
      <c r="U93" s="16"/>
      <c r="V93" s="84"/>
      <c r="W93" s="30"/>
      <c r="Z93" s="86"/>
    </row>
    <row r="94" spans="1:26" x14ac:dyDescent="0.3">
      <c r="A94" s="18" t="s">
        <v>60</v>
      </c>
      <c r="B94" s="18"/>
      <c r="C94" s="18"/>
      <c r="D94" s="27">
        <v>1252.6099999999999</v>
      </c>
      <c r="E94" s="28"/>
      <c r="F94" s="28"/>
      <c r="G94" s="27">
        <v>2000</v>
      </c>
      <c r="H94" s="27"/>
      <c r="I94" s="27">
        <v>580.36</v>
      </c>
      <c r="J94" s="28"/>
      <c r="K94" s="27">
        <v>1200</v>
      </c>
      <c r="L94" s="28"/>
      <c r="M94" s="29">
        <f>ROUND(IF(K94=0, IF(I94=0, 0, 1), I94/K94),5)</f>
        <v>0.48363</v>
      </c>
      <c r="P94" s="32">
        <v>1118.24</v>
      </c>
      <c r="Q94" s="30">
        <v>1000</v>
      </c>
      <c r="R94" s="30"/>
      <c r="S94" s="30">
        <v>1293.81</v>
      </c>
      <c r="T94" s="31">
        <v>1100</v>
      </c>
      <c r="U94" s="16"/>
      <c r="V94" s="84">
        <v>2139.38</v>
      </c>
      <c r="W94" s="30">
        <v>1400</v>
      </c>
      <c r="Y94" s="32">
        <v>1400</v>
      </c>
      <c r="Z94" s="86"/>
    </row>
    <row r="95" spans="1:26" x14ac:dyDescent="0.3">
      <c r="A95" s="18" t="s">
        <v>61</v>
      </c>
      <c r="B95" s="18"/>
      <c r="C95" s="18"/>
      <c r="D95" s="27">
        <v>1640</v>
      </c>
      <c r="E95" s="28"/>
      <c r="F95" s="28"/>
      <c r="G95" s="27">
        <v>2500</v>
      </c>
      <c r="H95" s="27"/>
      <c r="I95" s="27"/>
      <c r="J95" s="28"/>
      <c r="K95" s="27">
        <v>1000</v>
      </c>
      <c r="L95" s="28"/>
      <c r="M95" s="29"/>
      <c r="P95" s="32"/>
      <c r="Q95" s="30"/>
      <c r="R95" s="30"/>
      <c r="S95" s="30"/>
      <c r="T95" s="31"/>
      <c r="U95" s="16"/>
      <c r="V95" s="84"/>
      <c r="W95" s="30"/>
      <c r="Z95" s="86"/>
    </row>
    <row r="96" spans="1:26" x14ac:dyDescent="0.3">
      <c r="A96" s="18" t="s">
        <v>62</v>
      </c>
      <c r="B96" s="18"/>
      <c r="C96" s="18"/>
      <c r="D96" s="27">
        <v>290</v>
      </c>
      <c r="E96" s="28"/>
      <c r="F96" s="28"/>
      <c r="G96" s="27">
        <v>300</v>
      </c>
      <c r="H96" s="27"/>
      <c r="I96" s="27">
        <v>60.24</v>
      </c>
      <c r="J96" s="28"/>
      <c r="K96" s="27">
        <v>800</v>
      </c>
      <c r="L96" s="28"/>
      <c r="M96" s="29">
        <f>ROUND(IF(K96=0, IF(I96=0, 0, 1), I96/K96),5)</f>
        <v>7.5300000000000006E-2</v>
      </c>
      <c r="P96" s="32">
        <v>540</v>
      </c>
      <c r="Q96" s="30">
        <v>1500</v>
      </c>
      <c r="R96" s="30"/>
      <c r="S96" s="30">
        <v>630</v>
      </c>
      <c r="T96" s="31">
        <v>1500</v>
      </c>
      <c r="U96" s="16"/>
      <c r="V96" s="84">
        <v>717.5</v>
      </c>
      <c r="W96" s="30">
        <v>1000</v>
      </c>
      <c r="Y96" s="32">
        <v>1000</v>
      </c>
      <c r="Z96" s="86"/>
    </row>
    <row r="97" spans="1:26" ht="16.2" thickBot="1" x14ac:dyDescent="0.35">
      <c r="A97" s="18" t="s">
        <v>63</v>
      </c>
      <c r="B97" s="18"/>
      <c r="C97" s="18"/>
      <c r="D97" s="33">
        <v>16000</v>
      </c>
      <c r="E97" s="28"/>
      <c r="F97" s="28"/>
      <c r="G97" s="33">
        <v>16000</v>
      </c>
      <c r="H97" s="27"/>
      <c r="I97" s="33">
        <v>16060.56</v>
      </c>
      <c r="J97" s="28"/>
      <c r="K97" s="33">
        <v>16000</v>
      </c>
      <c r="L97" s="28"/>
      <c r="M97" s="34">
        <f>ROUND(IF(K97=0, IF(I97=0, 0, 1), I97/K97),5)</f>
        <v>1.00379</v>
      </c>
      <c r="P97" s="32">
        <v>8449.92</v>
      </c>
      <c r="Q97" s="30">
        <f>16000*1.06</f>
        <v>16960</v>
      </c>
      <c r="R97" s="30"/>
      <c r="S97" s="30"/>
      <c r="T97" s="31">
        <v>0</v>
      </c>
      <c r="U97" s="16"/>
      <c r="V97" s="84"/>
      <c r="W97" s="30"/>
      <c r="Z97" s="86"/>
    </row>
    <row r="98" spans="1:26" ht="16.2" thickBot="1" x14ac:dyDescent="0.35">
      <c r="A98" s="18" t="s">
        <v>154</v>
      </c>
      <c r="B98" s="18"/>
      <c r="C98" s="18"/>
      <c r="D98" s="27"/>
      <c r="E98" s="28"/>
      <c r="F98" s="28"/>
      <c r="G98" s="27"/>
      <c r="H98" s="27"/>
      <c r="I98" s="27"/>
      <c r="J98" s="28"/>
      <c r="K98" s="27"/>
      <c r="L98" s="28"/>
      <c r="M98" s="29"/>
      <c r="O98" s="53"/>
      <c r="P98" s="37"/>
      <c r="Q98" s="38"/>
      <c r="R98" s="38"/>
      <c r="S98" s="38"/>
      <c r="T98" s="39"/>
      <c r="U98" s="16"/>
      <c r="V98" s="85">
        <v>900</v>
      </c>
      <c r="W98" s="38">
        <v>5000</v>
      </c>
      <c r="Y98" s="32">
        <v>5000</v>
      </c>
      <c r="Z98" s="86"/>
    </row>
    <row r="99" spans="1:26" ht="16.2" thickTop="1" x14ac:dyDescent="0.3">
      <c r="A99" s="18" t="s">
        <v>64</v>
      </c>
      <c r="B99" s="18"/>
      <c r="C99" s="18"/>
      <c r="D99" s="27">
        <f>ROUND(SUM(D94:D97),5)</f>
        <v>19182.61</v>
      </c>
      <c r="E99" s="28"/>
      <c r="F99" s="28"/>
      <c r="G99" s="27">
        <f>ROUND(SUM(G94:G97),5)</f>
        <v>20800</v>
      </c>
      <c r="H99" s="27"/>
      <c r="I99" s="27">
        <f>ROUND(SUM(I92:I97),5)</f>
        <v>16701.16</v>
      </c>
      <c r="J99" s="28"/>
      <c r="K99" s="27">
        <f>ROUND(SUM(K92:K97),5)</f>
        <v>19000</v>
      </c>
      <c r="L99" s="28"/>
      <c r="M99" s="29">
        <f>ROUND(IF(K99=0, IF(I99=0, 0, 1), I99/K99),5)</f>
        <v>0.87900999999999996</v>
      </c>
      <c r="P99" s="30">
        <f>+P97+P96+P95+P94</f>
        <v>10108.16</v>
      </c>
      <c r="Q99" s="30">
        <f>+Q97+Q96+Q95+Q94</f>
        <v>19460</v>
      </c>
      <c r="R99" s="30"/>
      <c r="S99" s="31">
        <f>+S97+S96+S95+S94</f>
        <v>1923.81</v>
      </c>
      <c r="T99" s="31">
        <f>+T97+T96+T95+T94</f>
        <v>2600</v>
      </c>
      <c r="U99" s="16"/>
      <c r="V99" s="65">
        <f>+V98+V97+V96+V95+V94</f>
        <v>3756.88</v>
      </c>
      <c r="W99" s="31">
        <f>+W97+W96+W95+W94+W98</f>
        <v>7400</v>
      </c>
      <c r="Y99" s="70">
        <f>+Y97+Y96+Y95+Y94+Y98</f>
        <v>7400</v>
      </c>
      <c r="Z99" s="86"/>
    </row>
    <row r="100" spans="1:26" x14ac:dyDescent="0.3">
      <c r="A100" s="18"/>
      <c r="B100" s="18"/>
      <c r="C100" s="18"/>
      <c r="D100" s="27"/>
      <c r="E100" s="28"/>
      <c r="F100" s="28"/>
      <c r="G100" s="27"/>
      <c r="H100" s="27"/>
      <c r="I100" s="27"/>
      <c r="J100" s="28"/>
      <c r="K100" s="27"/>
      <c r="L100" s="28"/>
      <c r="M100" s="29"/>
      <c r="P100" s="32"/>
      <c r="Q100" s="30"/>
      <c r="R100" s="30"/>
      <c r="S100" s="30"/>
      <c r="T100" s="31"/>
      <c r="U100" s="16"/>
      <c r="W100" s="30"/>
      <c r="Z100" s="86"/>
    </row>
    <row r="101" spans="1:26" x14ac:dyDescent="0.3">
      <c r="A101" s="18"/>
      <c r="B101" s="18"/>
      <c r="C101" s="18"/>
      <c r="D101" s="27"/>
      <c r="E101" s="28"/>
      <c r="F101" s="28"/>
      <c r="G101" s="27"/>
      <c r="H101" s="27"/>
      <c r="I101" s="27"/>
      <c r="J101" s="28"/>
      <c r="K101" s="27"/>
      <c r="L101" s="28"/>
      <c r="M101" s="29"/>
      <c r="P101" s="32"/>
      <c r="Q101" s="30"/>
      <c r="R101" s="30"/>
      <c r="S101" s="30"/>
      <c r="T101" s="31"/>
      <c r="U101" s="16"/>
      <c r="V101" s="84"/>
      <c r="W101" s="30"/>
      <c r="Z101" s="86"/>
    </row>
    <row r="102" spans="1:26" x14ac:dyDescent="0.3">
      <c r="A102" s="18" t="s">
        <v>155</v>
      </c>
      <c r="B102" s="18"/>
      <c r="C102" s="18"/>
      <c r="D102" s="27"/>
      <c r="E102" s="28"/>
      <c r="F102" s="28"/>
      <c r="G102" s="27"/>
      <c r="H102" s="27"/>
      <c r="I102" s="27">
        <v>50</v>
      </c>
      <c r="J102" s="28"/>
      <c r="K102" s="27"/>
      <c r="L102" s="28"/>
      <c r="M102" s="29"/>
      <c r="P102" s="32">
        <v>50</v>
      </c>
      <c r="Q102" s="30"/>
      <c r="R102" s="30"/>
      <c r="S102" s="30">
        <f>100+813.85</f>
        <v>913.85</v>
      </c>
      <c r="T102" s="31"/>
      <c r="U102" s="16"/>
      <c r="V102" s="84">
        <v>1000</v>
      </c>
      <c r="W102" s="30">
        <v>2000</v>
      </c>
      <c r="Y102" s="32">
        <v>2000</v>
      </c>
      <c r="Z102" s="86"/>
    </row>
    <row r="103" spans="1:26" ht="16.2" thickBot="1" x14ac:dyDescent="0.35">
      <c r="A103" s="18" t="s">
        <v>65</v>
      </c>
      <c r="B103" s="18"/>
      <c r="C103" s="18"/>
      <c r="D103" s="27"/>
      <c r="E103" s="28"/>
      <c r="F103" s="28"/>
      <c r="G103" s="27"/>
      <c r="H103" s="27"/>
      <c r="I103" s="33">
        <v>25</v>
      </c>
      <c r="J103" s="28"/>
      <c r="K103" s="27"/>
      <c r="L103" s="28"/>
      <c r="M103" s="29"/>
      <c r="P103" s="37"/>
      <c r="Q103" s="38"/>
      <c r="R103" s="38"/>
      <c r="S103" s="38"/>
      <c r="T103" s="39"/>
      <c r="U103" s="16"/>
      <c r="V103" s="85"/>
      <c r="W103" s="38"/>
      <c r="Z103" s="86"/>
    </row>
    <row r="104" spans="1:26" ht="16.2" thickTop="1" x14ac:dyDescent="0.3">
      <c r="A104" s="18" t="s">
        <v>166</v>
      </c>
      <c r="B104" s="18"/>
      <c r="C104" s="18"/>
      <c r="D104" s="27"/>
      <c r="E104" s="28"/>
      <c r="F104" s="28"/>
      <c r="G104" s="27"/>
      <c r="H104" s="27"/>
      <c r="I104" s="27">
        <f>ROUND(SUM(I101:I103),5)</f>
        <v>75</v>
      </c>
      <c r="J104" s="28"/>
      <c r="K104" s="27"/>
      <c r="L104" s="28"/>
      <c r="M104" s="29"/>
      <c r="P104" s="32">
        <f>+P102</f>
        <v>50</v>
      </c>
      <c r="Q104" s="30">
        <v>100</v>
      </c>
      <c r="R104" s="30"/>
      <c r="S104" s="30">
        <f>+S102</f>
        <v>913.85</v>
      </c>
      <c r="T104" s="31">
        <v>100</v>
      </c>
      <c r="U104" s="16"/>
      <c r="V104" s="84">
        <f>+V102+V103</f>
        <v>1000</v>
      </c>
      <c r="W104" s="31">
        <f>+W102</f>
        <v>2000</v>
      </c>
      <c r="Y104" s="70">
        <f>+Y102</f>
        <v>2000</v>
      </c>
      <c r="Z104" s="86"/>
    </row>
    <row r="105" spans="1:26" x14ac:dyDescent="0.3">
      <c r="A105" s="18"/>
      <c r="B105" s="18"/>
      <c r="C105" s="18"/>
      <c r="D105" s="27"/>
      <c r="E105" s="28"/>
      <c r="F105" s="28"/>
      <c r="G105" s="27"/>
      <c r="H105" s="27"/>
      <c r="I105" s="27"/>
      <c r="J105" s="28"/>
      <c r="K105" s="27"/>
      <c r="L105" s="28"/>
      <c r="M105" s="29"/>
      <c r="P105" s="32"/>
      <c r="Q105" s="30"/>
      <c r="R105" s="30"/>
      <c r="S105" s="30"/>
      <c r="T105" s="31"/>
      <c r="U105" s="16"/>
      <c r="V105" s="84"/>
      <c r="W105" s="30"/>
      <c r="Z105" s="86"/>
    </row>
    <row r="106" spans="1:26" x14ac:dyDescent="0.3">
      <c r="A106" s="18" t="s">
        <v>179</v>
      </c>
      <c r="B106" s="18"/>
      <c r="C106" s="18"/>
      <c r="D106" s="27"/>
      <c r="E106" s="28"/>
      <c r="F106" s="28"/>
      <c r="G106" s="27"/>
      <c r="H106" s="27"/>
      <c r="I106" s="27"/>
      <c r="J106" s="28"/>
      <c r="K106" s="27"/>
      <c r="L106" s="28"/>
      <c r="M106" s="29"/>
      <c r="P106" s="32"/>
      <c r="Q106" s="30"/>
      <c r="R106" s="30"/>
      <c r="S106" s="30"/>
      <c r="T106" s="31"/>
      <c r="U106" s="16"/>
      <c r="V106" s="84"/>
      <c r="W106" s="30"/>
      <c r="Z106" s="86"/>
    </row>
    <row r="107" spans="1:26" x14ac:dyDescent="0.3">
      <c r="A107" s="18" t="s">
        <v>66</v>
      </c>
      <c r="B107" s="18"/>
      <c r="C107" s="18"/>
      <c r="D107" s="27">
        <v>180</v>
      </c>
      <c r="E107" s="28"/>
      <c r="F107" s="28"/>
      <c r="G107" s="27">
        <v>300</v>
      </c>
      <c r="H107" s="27"/>
      <c r="I107" s="27">
        <v>189.08</v>
      </c>
      <c r="J107" s="28"/>
      <c r="K107" s="27"/>
      <c r="L107" s="28"/>
      <c r="M107" s="29"/>
      <c r="P107" s="32">
        <v>200</v>
      </c>
      <c r="Q107" s="30">
        <v>300</v>
      </c>
      <c r="R107" s="30"/>
      <c r="S107" s="30"/>
      <c r="T107" s="31">
        <v>300</v>
      </c>
      <c r="U107" s="16"/>
      <c r="V107" s="84">
        <v>200</v>
      </c>
      <c r="W107" s="30">
        <v>300</v>
      </c>
      <c r="Y107" s="32">
        <v>300</v>
      </c>
      <c r="Z107" s="86"/>
    </row>
    <row r="108" spans="1:26" x14ac:dyDescent="0.3">
      <c r="A108" s="18" t="s">
        <v>67</v>
      </c>
      <c r="B108" s="18"/>
      <c r="C108" s="18"/>
      <c r="D108" s="27">
        <v>8081.3</v>
      </c>
      <c r="E108" s="28"/>
      <c r="F108" s="28"/>
      <c r="G108" s="27">
        <v>8000</v>
      </c>
      <c r="H108" s="27"/>
      <c r="I108" s="27">
        <v>444.4</v>
      </c>
      <c r="J108" s="28"/>
      <c r="K108" s="27">
        <v>6561.4</v>
      </c>
      <c r="L108" s="28"/>
      <c r="M108" s="29">
        <f>ROUND(IF(K108=0, IF(I108=0, 0, 1), I108/K108),5)</f>
        <v>6.7729999999999999E-2</v>
      </c>
      <c r="P108" s="32">
        <v>550</v>
      </c>
      <c r="Q108" s="30">
        <v>3280</v>
      </c>
      <c r="R108" s="30"/>
      <c r="S108" s="30">
        <v>525</v>
      </c>
      <c r="T108" s="31">
        <v>850</v>
      </c>
      <c r="U108" s="16"/>
      <c r="V108" s="84">
        <v>525</v>
      </c>
      <c r="W108" s="30">
        <v>600</v>
      </c>
      <c r="Y108" s="32">
        <v>525</v>
      </c>
      <c r="Z108" s="86"/>
    </row>
    <row r="109" spans="1:26" x14ac:dyDescent="0.3">
      <c r="A109" s="18" t="s">
        <v>180</v>
      </c>
      <c r="B109" s="18"/>
      <c r="C109" s="18"/>
      <c r="D109" s="27"/>
      <c r="E109" s="28"/>
      <c r="F109" s="28"/>
      <c r="G109" s="27"/>
      <c r="H109" s="27"/>
      <c r="I109" s="27"/>
      <c r="J109" s="28"/>
      <c r="K109" s="27"/>
      <c r="L109" s="28"/>
      <c r="M109" s="29"/>
      <c r="P109" s="32"/>
      <c r="Q109" s="30"/>
      <c r="R109" s="30"/>
      <c r="S109" s="30"/>
      <c r="T109" s="31"/>
      <c r="U109" s="16"/>
      <c r="V109" s="84">
        <v>76.98</v>
      </c>
      <c r="W109" s="30"/>
      <c r="Z109" s="86"/>
    </row>
    <row r="110" spans="1:26" x14ac:dyDescent="0.3">
      <c r="A110" s="18" t="s">
        <v>68</v>
      </c>
      <c r="B110" s="18"/>
      <c r="C110" s="18"/>
      <c r="D110" s="27">
        <v>837.58</v>
      </c>
      <c r="E110" s="28"/>
      <c r="F110" s="28"/>
      <c r="G110" s="27">
        <v>1400</v>
      </c>
      <c r="H110" s="27"/>
      <c r="I110" s="27"/>
      <c r="J110" s="28"/>
      <c r="K110" s="27"/>
      <c r="L110" s="28"/>
      <c r="M110" s="29"/>
      <c r="P110" s="32"/>
      <c r="Q110" s="30"/>
      <c r="R110" s="30"/>
      <c r="S110" s="30"/>
      <c r="T110" s="31"/>
      <c r="U110" s="16"/>
      <c r="V110" s="84"/>
      <c r="W110" s="30"/>
      <c r="Z110" s="86"/>
    </row>
    <row r="111" spans="1:26" x14ac:dyDescent="0.3">
      <c r="A111" s="18"/>
      <c r="B111" s="18" t="s">
        <v>69</v>
      </c>
      <c r="C111" s="18"/>
      <c r="D111" s="27"/>
      <c r="E111" s="28"/>
      <c r="F111" s="28"/>
      <c r="G111" s="27"/>
      <c r="H111" s="27"/>
      <c r="I111" s="27">
        <v>2211.66</v>
      </c>
      <c r="J111" s="28"/>
      <c r="K111" s="27">
        <v>1000</v>
      </c>
      <c r="L111" s="28"/>
      <c r="M111" s="29">
        <f>ROUND(IF(K111=0, IF(I111=0, 0, 1), I111/K111),5)</f>
        <v>2.2116600000000002</v>
      </c>
      <c r="P111" s="32">
        <v>1362.41</v>
      </c>
      <c r="Q111" s="30">
        <v>2000</v>
      </c>
      <c r="R111" s="30"/>
      <c r="S111" s="30">
        <v>914.77</v>
      </c>
      <c r="T111" s="31">
        <v>1400</v>
      </c>
      <c r="U111" s="16"/>
      <c r="V111" s="84">
        <v>873.38</v>
      </c>
      <c r="W111" s="30">
        <v>1000</v>
      </c>
      <c r="Y111" s="32">
        <v>1000</v>
      </c>
      <c r="Z111" s="86"/>
    </row>
    <row r="112" spans="1:26" x14ac:dyDescent="0.3">
      <c r="A112" s="18"/>
      <c r="B112" s="18" t="s">
        <v>70</v>
      </c>
      <c r="C112" s="18"/>
      <c r="D112" s="27"/>
      <c r="E112" s="28"/>
      <c r="F112" s="28"/>
      <c r="G112" s="27"/>
      <c r="H112" s="27"/>
      <c r="I112" s="27">
        <v>820</v>
      </c>
      <c r="J112" s="28"/>
      <c r="K112" s="27">
        <v>600</v>
      </c>
      <c r="L112" s="28"/>
      <c r="M112" s="29">
        <f>ROUND(IF(K112=0, IF(I112=0, 0, 1), I112/K112),5)</f>
        <v>1.3666700000000001</v>
      </c>
      <c r="P112" s="32">
        <v>2216.15</v>
      </c>
      <c r="Q112" s="30">
        <v>1000</v>
      </c>
      <c r="R112" s="30"/>
      <c r="S112" s="30">
        <v>1614.43</v>
      </c>
      <c r="T112" s="31">
        <v>1000</v>
      </c>
      <c r="U112" s="16"/>
      <c r="V112" s="84">
        <v>1000</v>
      </c>
      <c r="W112" s="30">
        <v>1500</v>
      </c>
      <c r="Y112" s="32">
        <v>1500</v>
      </c>
      <c r="Z112" s="86"/>
    </row>
    <row r="113" spans="1:26" ht="16.2" thickBot="1" x14ac:dyDescent="0.35">
      <c r="A113" s="18" t="s">
        <v>181</v>
      </c>
      <c r="B113" s="18"/>
      <c r="C113" s="18"/>
      <c r="D113" s="33">
        <v>190.74</v>
      </c>
      <c r="E113" s="28"/>
      <c r="F113" s="28"/>
      <c r="G113" s="33"/>
      <c r="H113" s="27"/>
      <c r="I113" s="27"/>
      <c r="J113" s="28"/>
      <c r="K113" s="27"/>
      <c r="L113" s="28"/>
      <c r="M113" s="29"/>
      <c r="P113" s="58"/>
      <c r="Q113" s="38"/>
      <c r="R113" s="38"/>
      <c r="S113" s="38"/>
      <c r="T113" s="39"/>
      <c r="U113" s="16"/>
      <c r="V113" s="84">
        <v>248.33</v>
      </c>
      <c r="W113" s="38">
        <v>2000</v>
      </c>
      <c r="Y113" s="32">
        <v>2000</v>
      </c>
      <c r="Z113" s="86"/>
    </row>
    <row r="114" spans="1:26" ht="16.8" thickTop="1" thickBot="1" x14ac:dyDescent="0.35">
      <c r="A114" s="18" t="s">
        <v>167</v>
      </c>
      <c r="B114" s="18"/>
      <c r="C114" s="18"/>
      <c r="D114" s="27"/>
      <c r="E114" s="28"/>
      <c r="F114" s="28"/>
      <c r="G114" s="27"/>
      <c r="H114" s="27"/>
      <c r="I114" s="41">
        <f>ROUND(SUM(I110:I112),5)</f>
        <v>3031.66</v>
      </c>
      <c r="J114" s="28"/>
      <c r="K114" s="41">
        <f>ROUND(SUM(K110:K112),5)</f>
        <v>1600</v>
      </c>
      <c r="L114" s="28"/>
      <c r="M114" s="49">
        <f>ROUND(IF(K114=0, IF(I114=0, 0, 1), I114/K114),5)</f>
        <v>1.89479</v>
      </c>
      <c r="P114" s="50">
        <f>+P112+P111</f>
        <v>3578.5600000000004</v>
      </c>
      <c r="Q114" s="50">
        <f>+Q112+Q111</f>
        <v>3000</v>
      </c>
      <c r="R114" s="50"/>
      <c r="S114" s="51">
        <f>+S112+S111+S108</f>
        <v>3054.2</v>
      </c>
      <c r="T114" s="51">
        <f>+T112+T111+T108</f>
        <v>3250</v>
      </c>
      <c r="U114" s="16"/>
      <c r="V114" s="75">
        <f>+V112+V111+V109+V107</f>
        <v>2150.36</v>
      </c>
      <c r="W114" s="75">
        <f>+W112+W111+W109+W107</f>
        <v>2800</v>
      </c>
      <c r="Y114" s="75">
        <f>+Y112+Y111+Y109+Y107</f>
        <v>2800</v>
      </c>
      <c r="Z114" s="86"/>
    </row>
    <row r="115" spans="1:26" x14ac:dyDescent="0.3">
      <c r="A115" s="18" t="s">
        <v>71</v>
      </c>
      <c r="B115" s="18"/>
      <c r="C115" s="18"/>
      <c r="D115" s="27">
        <f>ROUND(SUM(D106:D113),5)</f>
        <v>9289.6200000000008</v>
      </c>
      <c r="E115" s="28"/>
      <c r="F115" s="28"/>
      <c r="G115" s="27">
        <f>ROUND(SUM(G106:G113),5)</f>
        <v>9700</v>
      </c>
      <c r="H115" s="27"/>
      <c r="I115" s="27">
        <f>ROUND(SUM(I106:I108)+I114,5)</f>
        <v>3665.14</v>
      </c>
      <c r="J115" s="28"/>
      <c r="K115" s="27">
        <f>ROUND(SUM(K106:K108)+K114,5)</f>
        <v>8161.4</v>
      </c>
      <c r="L115" s="28"/>
      <c r="M115" s="29">
        <f>ROUND(IF(K115=0, IF(I115=0, 0, 1), I115/K115),5)</f>
        <v>0.44907999999999998</v>
      </c>
      <c r="P115" s="30">
        <f>+P114+P108+P107</f>
        <v>4328.5600000000004</v>
      </c>
      <c r="Q115" s="30">
        <f>+Q114+Q108+Q107</f>
        <v>6580</v>
      </c>
      <c r="R115" s="30"/>
      <c r="S115" s="31">
        <f>+S114+S104</f>
        <v>3968.0499999999997</v>
      </c>
      <c r="T115" s="31">
        <f>+T114+T104</f>
        <v>3350</v>
      </c>
      <c r="U115" s="16"/>
      <c r="V115" s="65">
        <f>+V114+V108+V113</f>
        <v>2923.69</v>
      </c>
      <c r="W115" s="65">
        <f>+W114+W108+W113</f>
        <v>5400</v>
      </c>
      <c r="Y115" s="65">
        <f>+Y114+Y108+Y113</f>
        <v>5325</v>
      </c>
      <c r="Z115" s="86"/>
    </row>
    <row r="116" spans="1:26" x14ac:dyDescent="0.3">
      <c r="A116" s="18"/>
      <c r="B116" s="18"/>
      <c r="C116" s="18"/>
      <c r="D116" s="27"/>
      <c r="E116" s="28"/>
      <c r="F116" s="28"/>
      <c r="G116" s="27"/>
      <c r="H116" s="27"/>
      <c r="I116" s="27"/>
      <c r="J116" s="28"/>
      <c r="K116" s="27"/>
      <c r="L116" s="28"/>
      <c r="M116" s="29"/>
      <c r="P116" s="30"/>
      <c r="Q116" s="30"/>
      <c r="R116" s="30"/>
      <c r="S116" s="31"/>
      <c r="T116" s="31"/>
      <c r="U116" s="16"/>
      <c r="V116" s="65"/>
      <c r="W116" s="65"/>
      <c r="Y116" s="65"/>
      <c r="Z116" s="86"/>
    </row>
    <row r="117" spans="1:26" x14ac:dyDescent="0.3">
      <c r="A117" s="18" t="s">
        <v>182</v>
      </c>
      <c r="B117" s="18"/>
      <c r="C117" s="18"/>
      <c r="D117" s="27"/>
      <c r="E117" s="28"/>
      <c r="F117" s="28"/>
      <c r="G117" s="27"/>
      <c r="H117" s="27"/>
      <c r="I117" s="27"/>
      <c r="J117" s="28"/>
      <c r="K117" s="27"/>
      <c r="L117" s="28"/>
      <c r="M117" s="29"/>
      <c r="P117" s="32"/>
      <c r="Q117" s="30"/>
      <c r="R117" s="30"/>
      <c r="S117" s="30"/>
      <c r="T117" s="31"/>
      <c r="U117" s="16"/>
      <c r="W117" s="30"/>
      <c r="Z117" s="86"/>
    </row>
    <row r="118" spans="1:26" x14ac:dyDescent="0.3">
      <c r="A118" s="18" t="s">
        <v>33</v>
      </c>
      <c r="B118" s="18"/>
      <c r="C118" s="18"/>
      <c r="D118" s="27">
        <v>2400.63</v>
      </c>
      <c r="E118" s="28"/>
      <c r="F118" s="28"/>
      <c r="G118" s="27">
        <v>3000</v>
      </c>
      <c r="H118" s="27"/>
      <c r="I118" s="27">
        <v>104.06</v>
      </c>
      <c r="J118" s="28"/>
      <c r="K118" s="27"/>
      <c r="L118" s="28"/>
      <c r="M118" s="29"/>
      <c r="P118" s="32">
        <v>505.78</v>
      </c>
      <c r="Q118" s="30"/>
      <c r="R118" s="30"/>
      <c r="S118" s="30">
        <v>1428.53</v>
      </c>
      <c r="T118" s="31">
        <v>550</v>
      </c>
      <c r="U118" s="16"/>
      <c r="V118" s="84">
        <v>1388.85</v>
      </c>
      <c r="W118" s="30"/>
      <c r="Y118" s="32">
        <v>1000</v>
      </c>
      <c r="Z118" s="86"/>
    </row>
    <row r="119" spans="1:26" x14ac:dyDescent="0.3">
      <c r="A119" s="18" t="s">
        <v>34</v>
      </c>
      <c r="B119" s="18"/>
      <c r="C119" s="18"/>
      <c r="D119" s="27">
        <v>604</v>
      </c>
      <c r="E119" s="28"/>
      <c r="F119" s="28"/>
      <c r="G119" s="27"/>
      <c r="H119" s="27"/>
      <c r="I119" s="27"/>
      <c r="J119" s="28"/>
      <c r="K119" s="27"/>
      <c r="L119" s="28"/>
      <c r="M119" s="29"/>
      <c r="P119" s="32"/>
      <c r="Q119" s="30"/>
      <c r="R119" s="30"/>
      <c r="S119" s="30"/>
      <c r="T119" s="31"/>
      <c r="U119" s="16"/>
      <c r="V119" s="84"/>
      <c r="W119" s="30"/>
      <c r="Z119" s="86"/>
    </row>
    <row r="120" spans="1:26" x14ac:dyDescent="0.3">
      <c r="A120" s="18" t="s">
        <v>35</v>
      </c>
      <c r="B120" s="18"/>
      <c r="C120" s="18"/>
      <c r="D120" s="27">
        <v>477.85</v>
      </c>
      <c r="E120" s="28"/>
      <c r="F120" s="28"/>
      <c r="G120" s="27"/>
      <c r="H120" s="27"/>
      <c r="I120" s="27"/>
      <c r="J120" s="28"/>
      <c r="K120" s="27"/>
      <c r="L120" s="28"/>
      <c r="M120" s="29"/>
      <c r="P120" s="32"/>
      <c r="Q120" s="30"/>
      <c r="R120" s="30"/>
      <c r="S120" s="30"/>
      <c r="T120" s="31"/>
      <c r="U120" s="16"/>
      <c r="V120" s="84"/>
      <c r="W120" s="30"/>
      <c r="Z120" s="86"/>
    </row>
    <row r="121" spans="1:26" ht="16.2" thickBot="1" x14ac:dyDescent="0.35">
      <c r="A121" s="18" t="s">
        <v>9</v>
      </c>
      <c r="B121" s="18"/>
      <c r="C121" s="18"/>
      <c r="D121" s="33">
        <v>1162.5899999999999</v>
      </c>
      <c r="E121" s="28"/>
      <c r="F121" s="28"/>
      <c r="G121" s="33">
        <v>500</v>
      </c>
      <c r="H121" s="27"/>
      <c r="I121" s="27">
        <v>346.98</v>
      </c>
      <c r="J121" s="28"/>
      <c r="K121" s="27"/>
      <c r="L121" s="28"/>
      <c r="M121" s="29"/>
      <c r="P121" s="32">
        <v>356.54</v>
      </c>
      <c r="Q121" s="30"/>
      <c r="R121" s="30"/>
      <c r="S121" s="30">
        <f>719.29+77.11</f>
        <v>796.4</v>
      </c>
      <c r="T121" s="31"/>
      <c r="U121" s="16"/>
      <c r="V121" s="84">
        <v>626.4</v>
      </c>
      <c r="W121" s="30">
        <v>1000</v>
      </c>
      <c r="Y121" s="32">
        <v>1000</v>
      </c>
      <c r="Z121" s="86"/>
    </row>
    <row r="122" spans="1:26" ht="16.2" thickBot="1" x14ac:dyDescent="0.35">
      <c r="A122" s="18" t="s">
        <v>72</v>
      </c>
      <c r="B122" s="18"/>
      <c r="C122" s="18"/>
      <c r="D122" s="27"/>
      <c r="E122" s="28"/>
      <c r="F122" s="28"/>
      <c r="G122" s="27"/>
      <c r="H122" s="27"/>
      <c r="I122" s="33"/>
      <c r="J122" s="28"/>
      <c r="K122" s="33">
        <v>1000</v>
      </c>
      <c r="L122" s="28"/>
      <c r="M122" s="34"/>
      <c r="P122" s="37">
        <v>326.19</v>
      </c>
      <c r="Q122" s="38">
        <v>1000</v>
      </c>
      <c r="R122" s="38"/>
      <c r="S122" s="38"/>
      <c r="T122" s="39">
        <v>350</v>
      </c>
      <c r="U122" s="16"/>
      <c r="V122" s="84">
        <v>39.94</v>
      </c>
      <c r="W122" s="38"/>
      <c r="Z122" s="86"/>
    </row>
    <row r="123" spans="1:26" ht="16.2" thickTop="1" x14ac:dyDescent="0.3">
      <c r="A123" s="18" t="s">
        <v>73</v>
      </c>
      <c r="B123" s="18"/>
      <c r="C123" s="18"/>
      <c r="D123" s="27">
        <f>ROUND(SUM(D117:D121),5)</f>
        <v>4645.07</v>
      </c>
      <c r="E123" s="28"/>
      <c r="F123" s="28"/>
      <c r="G123" s="27">
        <f>ROUND(SUM(G117:G121),5)</f>
        <v>3500</v>
      </c>
      <c r="H123" s="27"/>
      <c r="I123" s="27">
        <f>ROUND(SUM(I118:I122),5)</f>
        <v>451.04</v>
      </c>
      <c r="J123" s="28"/>
      <c r="K123" s="27">
        <f>ROUND(SUM(K118:K122),5)</f>
        <v>1000</v>
      </c>
      <c r="L123" s="28"/>
      <c r="M123" s="29">
        <f>ROUND(IF(K123=0, IF(I123=0, 0, 1), I123/K123),5)</f>
        <v>0.45104</v>
      </c>
      <c r="P123" s="32">
        <f>+P118+P121+P122</f>
        <v>1188.51</v>
      </c>
      <c r="Q123" s="30">
        <f>+Q122</f>
        <v>1000</v>
      </c>
      <c r="R123" s="30"/>
      <c r="S123" s="61">
        <f>+S121+S118</f>
        <v>2224.9299999999998</v>
      </c>
      <c r="T123" s="61">
        <f>+T122+T118</f>
        <v>900</v>
      </c>
      <c r="U123" s="16"/>
      <c r="V123" s="70">
        <f>+V118+V121+V122</f>
        <v>2055.19</v>
      </c>
      <c r="W123" s="61">
        <f>+W121+W118</f>
        <v>1000</v>
      </c>
      <c r="Y123" s="70">
        <f>+Y121+Y118</f>
        <v>2000</v>
      </c>
      <c r="Z123" s="86"/>
    </row>
    <row r="124" spans="1:26" x14ac:dyDescent="0.3">
      <c r="A124" s="18"/>
      <c r="B124" s="18"/>
      <c r="C124" s="18"/>
      <c r="D124" s="27"/>
      <c r="E124" s="28"/>
      <c r="F124" s="28"/>
      <c r="G124" s="27"/>
      <c r="H124" s="27"/>
      <c r="I124" s="27"/>
      <c r="J124" s="28"/>
      <c r="K124" s="27"/>
      <c r="L124" s="28"/>
      <c r="M124" s="29"/>
      <c r="P124" s="32"/>
      <c r="Q124" s="30"/>
      <c r="R124" s="30"/>
      <c r="S124" s="30"/>
      <c r="T124" s="31"/>
      <c r="U124" s="16"/>
      <c r="W124" s="30"/>
      <c r="Z124" s="86"/>
    </row>
    <row r="125" spans="1:26" x14ac:dyDescent="0.3">
      <c r="A125" s="18" t="s">
        <v>74</v>
      </c>
      <c r="B125" s="18"/>
      <c r="C125" s="18"/>
      <c r="D125" s="27"/>
      <c r="E125" s="28"/>
      <c r="F125" s="28"/>
      <c r="G125" s="27"/>
      <c r="H125" s="27"/>
      <c r="I125" s="27"/>
      <c r="J125" s="28"/>
      <c r="K125" s="27"/>
      <c r="L125" s="28"/>
      <c r="M125" s="29"/>
      <c r="P125" s="32"/>
      <c r="Q125" s="30"/>
      <c r="R125" s="30"/>
      <c r="S125" s="30"/>
      <c r="T125" s="31"/>
      <c r="U125" s="16"/>
      <c r="V125" s="84">
        <v>99.24</v>
      </c>
      <c r="W125" s="30"/>
      <c r="Z125" s="86"/>
    </row>
    <row r="126" spans="1:26" x14ac:dyDescent="0.3">
      <c r="A126" s="18" t="s">
        <v>75</v>
      </c>
      <c r="B126" s="18"/>
      <c r="C126" s="18"/>
      <c r="D126" s="27">
        <v>10659.63</v>
      </c>
      <c r="E126" s="28"/>
      <c r="F126" s="28"/>
      <c r="G126" s="27">
        <v>9200</v>
      </c>
      <c r="H126" s="27"/>
      <c r="I126" s="27">
        <v>0.41</v>
      </c>
      <c r="J126" s="28"/>
      <c r="K126" s="27"/>
      <c r="L126" s="28"/>
      <c r="M126" s="29"/>
      <c r="P126" s="32">
        <v>4.68</v>
      </c>
      <c r="Q126" s="30"/>
      <c r="R126" s="30"/>
      <c r="S126" s="30">
        <v>-0.15</v>
      </c>
      <c r="T126" s="31"/>
      <c r="U126" s="16"/>
      <c r="V126" s="84">
        <v>32.86</v>
      </c>
      <c r="W126" s="30"/>
      <c r="Y126" s="32">
        <v>35</v>
      </c>
      <c r="Z126" s="86"/>
    </row>
    <row r="127" spans="1:26" ht="16.2" thickBot="1" x14ac:dyDescent="0.35">
      <c r="A127" s="18" t="s">
        <v>76</v>
      </c>
      <c r="B127" s="18"/>
      <c r="C127" s="18"/>
      <c r="D127" s="33">
        <v>304.01</v>
      </c>
      <c r="E127" s="28"/>
      <c r="F127" s="28"/>
      <c r="G127" s="33"/>
      <c r="H127" s="27"/>
      <c r="I127" s="33">
        <v>9789.77</v>
      </c>
      <c r="J127" s="28"/>
      <c r="K127" s="33">
        <v>9000</v>
      </c>
      <c r="L127" s="28"/>
      <c r="M127" s="34">
        <f>ROUND(IF(K127=0, IF(I127=0, 0, 1), I127/K127),5)</f>
        <v>1.08775</v>
      </c>
      <c r="P127" s="37">
        <v>7769.71</v>
      </c>
      <c r="Q127" s="38">
        <v>10000</v>
      </c>
      <c r="R127" s="38"/>
      <c r="S127" s="38">
        <v>8100.22</v>
      </c>
      <c r="T127" s="39">
        <v>8000</v>
      </c>
      <c r="U127" s="16"/>
      <c r="V127" s="84">
        <v>8597.77</v>
      </c>
      <c r="W127" s="38">
        <v>8400</v>
      </c>
      <c r="Y127" s="32">
        <f>+V127*1.027</f>
        <v>8829.9097899999997</v>
      </c>
      <c r="Z127" s="86"/>
    </row>
    <row r="128" spans="1:26" ht="16.2" thickTop="1" x14ac:dyDescent="0.3">
      <c r="A128" s="18"/>
      <c r="B128" s="18"/>
      <c r="C128" s="18"/>
      <c r="D128" s="27">
        <f>ROUND(SUM(D124:D127),5)</f>
        <v>10963.64</v>
      </c>
      <c r="E128" s="28"/>
      <c r="F128" s="28"/>
      <c r="G128" s="27">
        <f>ROUND(SUM(G124:G127),5)</f>
        <v>9200</v>
      </c>
      <c r="H128" s="27"/>
      <c r="I128" s="27">
        <f>ROUND(SUM(I125:I127),5)</f>
        <v>9790.18</v>
      </c>
      <c r="J128" s="28"/>
      <c r="K128" s="27">
        <f>ROUND(SUM(K125:K127),5)</f>
        <v>9000</v>
      </c>
      <c r="L128" s="28"/>
      <c r="M128" s="29">
        <f>ROUND(IF(K128=0, IF(I128=0, 0, 1), I128/K128),5)</f>
        <v>1.0878000000000001</v>
      </c>
      <c r="P128" s="32">
        <f>+P126+P127</f>
        <v>7774.39</v>
      </c>
      <c r="Q128" s="30">
        <f>+Q127</f>
        <v>10000</v>
      </c>
      <c r="R128" s="30"/>
      <c r="S128" s="31">
        <f>+S127+S126</f>
        <v>8100.0700000000006</v>
      </c>
      <c r="T128" s="31">
        <f>+T127</f>
        <v>8000</v>
      </c>
      <c r="U128" s="16"/>
      <c r="V128" s="70">
        <f>+V127+V126+V125</f>
        <v>8729.8700000000008</v>
      </c>
      <c r="W128" s="31">
        <f>+W127</f>
        <v>8400</v>
      </c>
      <c r="Y128" s="70">
        <f>+Y127</f>
        <v>8829.9097899999997</v>
      </c>
      <c r="Z128" s="86"/>
    </row>
    <row r="129" spans="1:27" hidden="1" x14ac:dyDescent="0.3">
      <c r="A129" s="18"/>
      <c r="B129" s="18"/>
      <c r="C129" s="18"/>
      <c r="D129" s="27"/>
      <c r="E129" s="28"/>
      <c r="F129" s="28"/>
      <c r="G129" s="27"/>
      <c r="H129" s="27"/>
      <c r="I129" s="27"/>
      <c r="J129" s="28"/>
      <c r="K129" s="27"/>
      <c r="L129" s="28"/>
      <c r="M129" s="29"/>
      <c r="P129" s="32"/>
      <c r="Q129" s="30"/>
      <c r="R129" s="30"/>
      <c r="S129" s="30"/>
      <c r="T129" s="31"/>
      <c r="U129" s="16"/>
      <c r="W129" s="30"/>
      <c r="Z129" s="86"/>
    </row>
    <row r="130" spans="1:27" hidden="1" x14ac:dyDescent="0.3">
      <c r="A130" s="18"/>
      <c r="B130" s="18"/>
      <c r="C130" s="18"/>
      <c r="D130" s="27"/>
      <c r="E130" s="28"/>
      <c r="F130" s="28"/>
      <c r="G130" s="27"/>
      <c r="H130" s="27"/>
      <c r="I130" s="27"/>
      <c r="J130" s="28"/>
      <c r="K130" s="27"/>
      <c r="L130" s="28"/>
      <c r="M130" s="29"/>
      <c r="P130" s="32"/>
      <c r="Q130" s="30"/>
      <c r="R130" s="30"/>
      <c r="S130" s="30"/>
      <c r="T130" s="31"/>
      <c r="U130" s="16"/>
      <c r="W130" s="30"/>
      <c r="Z130" s="86"/>
    </row>
    <row r="131" spans="1:27" hidden="1" x14ac:dyDescent="0.3">
      <c r="A131" s="18" t="s">
        <v>77</v>
      </c>
      <c r="B131" s="18"/>
      <c r="C131" s="18"/>
      <c r="D131" s="27">
        <v>292.5</v>
      </c>
      <c r="E131" s="28"/>
      <c r="F131" s="28"/>
      <c r="G131" s="27"/>
      <c r="H131" s="27"/>
      <c r="I131" s="27"/>
      <c r="J131" s="28"/>
      <c r="K131" s="27"/>
      <c r="L131" s="28"/>
      <c r="M131" s="29"/>
      <c r="P131" s="32"/>
      <c r="Q131" s="30"/>
      <c r="R131" s="30"/>
      <c r="S131" s="30"/>
      <c r="T131" s="31"/>
      <c r="U131" s="16"/>
      <c r="W131" s="30"/>
      <c r="Z131" s="86"/>
    </row>
    <row r="132" spans="1:27" hidden="1" x14ac:dyDescent="0.3">
      <c r="A132" s="18"/>
      <c r="B132" s="18"/>
      <c r="C132" s="18"/>
      <c r="D132" s="27">
        <v>292.5</v>
      </c>
      <c r="E132" s="28"/>
      <c r="F132" s="28"/>
      <c r="G132" s="27"/>
      <c r="H132" s="27"/>
      <c r="I132" s="27"/>
      <c r="J132" s="28"/>
      <c r="K132" s="27"/>
      <c r="L132" s="28"/>
      <c r="M132" s="29"/>
      <c r="P132" s="32"/>
      <c r="Q132" s="30"/>
      <c r="R132" s="30"/>
      <c r="S132" s="30"/>
      <c r="T132" s="31"/>
      <c r="U132" s="16"/>
      <c r="W132" s="30"/>
      <c r="Z132" s="86"/>
    </row>
    <row r="133" spans="1:27" hidden="1" x14ac:dyDescent="0.3">
      <c r="A133" s="18"/>
      <c r="B133" s="18"/>
      <c r="C133" s="18"/>
      <c r="D133" s="27"/>
      <c r="E133" s="28"/>
      <c r="F133" s="28"/>
      <c r="G133" s="27"/>
      <c r="H133" s="27"/>
      <c r="I133" s="27"/>
      <c r="J133" s="28"/>
      <c r="K133" s="27"/>
      <c r="L133" s="28"/>
      <c r="M133" s="29"/>
      <c r="P133" s="32"/>
      <c r="Q133" s="30"/>
      <c r="R133" s="30"/>
      <c r="S133" s="30"/>
      <c r="T133" s="88"/>
      <c r="U133" s="89"/>
      <c r="V133" s="90"/>
      <c r="W133" s="30"/>
      <c r="Z133" s="86"/>
    </row>
    <row r="134" spans="1:27" x14ac:dyDescent="0.3">
      <c r="A134" s="18"/>
      <c r="B134" s="18"/>
      <c r="C134" s="18"/>
      <c r="D134" s="27"/>
      <c r="E134" s="28"/>
      <c r="F134" s="28"/>
      <c r="G134" s="27"/>
      <c r="H134" s="27"/>
      <c r="I134" s="27"/>
      <c r="J134" s="28"/>
      <c r="K134" s="27"/>
      <c r="L134" s="28"/>
      <c r="M134" s="29"/>
      <c r="P134" s="32"/>
      <c r="Q134" s="30"/>
      <c r="R134" s="30"/>
      <c r="S134" s="30"/>
      <c r="T134" s="88"/>
      <c r="U134" s="89"/>
      <c r="V134" s="90"/>
      <c r="W134" s="30"/>
      <c r="Z134" s="86"/>
    </row>
    <row r="135" spans="1:27" x14ac:dyDescent="0.3">
      <c r="A135" s="18" t="s">
        <v>78</v>
      </c>
      <c r="B135" s="18"/>
      <c r="C135" s="18"/>
      <c r="H135" s="27"/>
      <c r="I135" s="27">
        <v>6650</v>
      </c>
      <c r="J135" s="28"/>
      <c r="K135" s="27"/>
      <c r="L135" s="28"/>
      <c r="M135" s="29"/>
      <c r="P135" s="32"/>
      <c r="Q135" s="30"/>
      <c r="R135" s="30"/>
      <c r="S135" s="30"/>
      <c r="T135" s="88"/>
      <c r="U135" s="89"/>
      <c r="V135" s="90"/>
      <c r="W135" s="30"/>
      <c r="Z135" s="86"/>
    </row>
    <row r="136" spans="1:27" x14ac:dyDescent="0.3">
      <c r="A136" s="18" t="s">
        <v>79</v>
      </c>
      <c r="B136" s="18"/>
      <c r="C136" s="18"/>
      <c r="D136" s="27"/>
      <c r="E136" s="28"/>
      <c r="F136" s="28"/>
      <c r="G136" s="27"/>
      <c r="H136" s="27"/>
      <c r="I136" s="27"/>
      <c r="J136" s="28"/>
      <c r="K136" s="27"/>
      <c r="L136" s="28"/>
      <c r="M136" s="29"/>
      <c r="P136" s="32"/>
      <c r="Q136" s="30"/>
      <c r="R136" s="30"/>
      <c r="S136" s="30"/>
      <c r="T136" s="88"/>
      <c r="U136" s="89"/>
      <c r="V136" s="90"/>
      <c r="W136" s="30"/>
      <c r="Z136" s="86"/>
    </row>
    <row r="137" spans="1:27" x14ac:dyDescent="0.3">
      <c r="A137" s="18"/>
      <c r="B137" s="18" t="s">
        <v>80</v>
      </c>
      <c r="C137" s="18"/>
      <c r="D137" s="27">
        <v>22330.5</v>
      </c>
      <c r="E137" s="28"/>
      <c r="F137" s="28"/>
      <c r="G137" s="27"/>
      <c r="H137" s="27"/>
      <c r="I137" s="27">
        <v>44829.84</v>
      </c>
      <c r="J137" s="28"/>
      <c r="K137" s="27">
        <v>44746</v>
      </c>
      <c r="L137" s="28"/>
      <c r="M137" s="29">
        <f>ROUND(IF(K137=0, IF(I137=0, 0, 1), I137/K137),5)</f>
        <v>1.00187</v>
      </c>
      <c r="P137" s="32">
        <v>47519.519999999997</v>
      </c>
      <c r="Q137" s="30">
        <f>44830*1.06</f>
        <v>47519.8</v>
      </c>
      <c r="R137" s="30"/>
      <c r="S137" s="30">
        <f>27579.51+13276.06</f>
        <v>40855.57</v>
      </c>
      <c r="T137" s="92">
        <v>49420.59</v>
      </c>
      <c r="U137" s="93"/>
      <c r="V137" s="84">
        <v>46656</v>
      </c>
      <c r="W137" s="30">
        <v>45517.88</v>
      </c>
      <c r="Y137" s="32">
        <f>+V137*1.027</f>
        <v>47915.712</v>
      </c>
      <c r="Z137" s="86"/>
    </row>
    <row r="138" spans="1:27" x14ac:dyDescent="0.3">
      <c r="A138" s="18"/>
      <c r="B138" s="18" t="s">
        <v>81</v>
      </c>
      <c r="C138" s="18"/>
      <c r="D138" s="27"/>
      <c r="E138" s="28"/>
      <c r="F138" s="28"/>
      <c r="G138" s="27"/>
      <c r="H138" s="27"/>
      <c r="I138" s="27"/>
      <c r="J138" s="28"/>
      <c r="K138" s="27"/>
      <c r="L138" s="28"/>
      <c r="M138" s="29"/>
      <c r="P138" s="32"/>
      <c r="Q138" s="30"/>
      <c r="R138" s="30"/>
      <c r="S138" s="30"/>
      <c r="T138" s="92"/>
      <c r="U138" s="93"/>
      <c r="V138" s="84">
        <v>6500</v>
      </c>
      <c r="W138" s="30">
        <v>6000</v>
      </c>
      <c r="Y138" s="32">
        <v>6500</v>
      </c>
      <c r="Z138" s="86"/>
    </row>
    <row r="139" spans="1:27" x14ac:dyDescent="0.3">
      <c r="A139" s="18"/>
      <c r="B139" s="18" t="s">
        <v>168</v>
      </c>
      <c r="C139" s="18" t="s">
        <v>82</v>
      </c>
      <c r="D139" s="27">
        <v>3114.97</v>
      </c>
      <c r="E139" s="28"/>
      <c r="F139" s="28"/>
      <c r="G139" s="27"/>
      <c r="H139" s="27"/>
      <c r="I139" s="27">
        <v>6252.6</v>
      </c>
      <c r="J139" s="28"/>
      <c r="K139" s="27">
        <v>6253</v>
      </c>
      <c r="L139" s="28"/>
      <c r="M139" s="29">
        <f t="shared" ref="M139:M144" si="1">ROUND(IF(K139=0, IF(I139=0, 0, 1), I139/K139),5)</f>
        <v>0.99994000000000005</v>
      </c>
      <c r="P139" s="32">
        <v>6252.6</v>
      </c>
      <c r="Q139" s="30">
        <v>6300</v>
      </c>
      <c r="R139" s="30"/>
      <c r="S139" s="30">
        <v>6939.45</v>
      </c>
      <c r="T139" s="92">
        <v>6918.88</v>
      </c>
      <c r="U139" s="93"/>
      <c r="V139" s="84"/>
      <c r="W139" s="30"/>
      <c r="Z139" s="86"/>
    </row>
    <row r="140" spans="1:27" ht="16.2" thickBot="1" x14ac:dyDescent="0.35">
      <c r="A140" s="18"/>
      <c r="B140" s="18" t="s">
        <v>151</v>
      </c>
      <c r="C140" s="18" t="s">
        <v>83</v>
      </c>
      <c r="D140" s="33">
        <v>167.49</v>
      </c>
      <c r="E140" s="28"/>
      <c r="F140" s="28"/>
      <c r="G140" s="27"/>
      <c r="H140" s="27"/>
      <c r="I140" s="33">
        <v>669.96</v>
      </c>
      <c r="J140" s="28"/>
      <c r="K140" s="33">
        <v>670</v>
      </c>
      <c r="L140" s="28"/>
      <c r="M140" s="34">
        <f t="shared" si="1"/>
        <v>0.99994000000000005</v>
      </c>
      <c r="P140" s="58">
        <v>810.11</v>
      </c>
      <c r="Q140" s="38">
        <v>670</v>
      </c>
      <c r="R140" s="38"/>
      <c r="S140" s="38">
        <v>502.37</v>
      </c>
      <c r="T140" s="39">
        <f>T137*0.015</f>
        <v>741.30884999999989</v>
      </c>
      <c r="U140" s="16"/>
      <c r="V140" s="91"/>
      <c r="W140" s="39">
        <f>W137*0.015</f>
        <v>682.76819999999998</v>
      </c>
      <c r="Y140" s="32">
        <f>+Y137*AA140</f>
        <v>718.73568</v>
      </c>
      <c r="Z140" s="86"/>
      <c r="AA140" s="77">
        <f>+W140/W137</f>
        <v>1.5000000000000001E-2</v>
      </c>
    </row>
    <row r="141" spans="1:27" ht="16.2" thickTop="1" x14ac:dyDescent="0.3">
      <c r="A141" s="18"/>
      <c r="B141" s="18" t="s">
        <v>84</v>
      </c>
      <c r="C141" s="18"/>
      <c r="D141" s="27">
        <f>ROUND(SUM(D138:D140),5)</f>
        <v>3282.46</v>
      </c>
      <c r="E141" s="28"/>
      <c r="F141" s="28"/>
      <c r="G141" s="27"/>
      <c r="H141" s="27"/>
      <c r="I141" s="27">
        <f>ROUND(SUM(I138:I140),5)</f>
        <v>6922.56</v>
      </c>
      <c r="J141" s="28"/>
      <c r="K141" s="27">
        <f>ROUND(SUM(K138:K140),5)</f>
        <v>6923</v>
      </c>
      <c r="L141" s="28"/>
      <c r="M141" s="29">
        <f t="shared" si="1"/>
        <v>0.99994000000000005</v>
      </c>
      <c r="P141" s="30">
        <f>+P140+P139</f>
        <v>7062.71</v>
      </c>
      <c r="Q141" s="30">
        <f>+Q140+Q139</f>
        <v>6970</v>
      </c>
      <c r="R141" s="30"/>
      <c r="S141" s="31">
        <f>+S140+S139</f>
        <v>7441.82</v>
      </c>
      <c r="T141" s="31">
        <f>+T140+T139</f>
        <v>7660.1888500000005</v>
      </c>
      <c r="U141" s="16"/>
      <c r="V141" s="70">
        <f>+V140+V139+V138</f>
        <v>6500</v>
      </c>
      <c r="W141" s="31">
        <f>+W140+W139</f>
        <v>682.76819999999998</v>
      </c>
      <c r="Y141" s="70">
        <f>+Y140+Y139+Y138</f>
        <v>7218.7356799999998</v>
      </c>
      <c r="Z141" s="86"/>
    </row>
    <row r="142" spans="1:27" x14ac:dyDescent="0.3">
      <c r="A142" s="18"/>
      <c r="B142" s="18" t="s">
        <v>85</v>
      </c>
      <c r="C142" s="18"/>
      <c r="D142" s="27">
        <v>1467.95</v>
      </c>
      <c r="E142" s="28"/>
      <c r="F142" s="28"/>
      <c r="G142" s="27"/>
      <c r="H142" s="27"/>
      <c r="I142" s="27">
        <v>1028.81</v>
      </c>
      <c r="J142" s="28"/>
      <c r="K142" s="27">
        <v>1500</v>
      </c>
      <c r="L142" s="28"/>
      <c r="M142" s="29">
        <f t="shared" si="1"/>
        <v>0.68586999999999998</v>
      </c>
      <c r="P142" s="32">
        <v>1405.8</v>
      </c>
      <c r="Q142" s="30">
        <v>1500</v>
      </c>
      <c r="R142" s="30"/>
      <c r="S142" s="30">
        <v>1498.05</v>
      </c>
      <c r="T142" s="31">
        <v>1500</v>
      </c>
      <c r="U142" s="16"/>
      <c r="V142" s="65">
        <v>466.03</v>
      </c>
      <c r="W142" s="30">
        <v>1000</v>
      </c>
      <c r="Y142" s="32">
        <v>1000</v>
      </c>
      <c r="Z142" s="86"/>
    </row>
    <row r="143" spans="1:27" ht="16.2" thickBot="1" x14ac:dyDescent="0.35">
      <c r="A143" s="18"/>
      <c r="B143" s="18" t="s">
        <v>86</v>
      </c>
      <c r="C143" s="18"/>
      <c r="D143" s="33"/>
      <c r="E143" s="28"/>
      <c r="F143" s="28"/>
      <c r="G143" s="33">
        <v>50000</v>
      </c>
      <c r="H143" s="27"/>
      <c r="I143" s="33">
        <v>3772.33</v>
      </c>
      <c r="J143" s="28"/>
      <c r="K143" s="33">
        <v>3417</v>
      </c>
      <c r="L143" s="28"/>
      <c r="M143" s="34">
        <f t="shared" si="1"/>
        <v>1.10399</v>
      </c>
      <c r="P143" s="37">
        <v>3634.62</v>
      </c>
      <c r="Q143" s="38">
        <v>3800</v>
      </c>
      <c r="R143" s="38"/>
      <c r="S143" s="38">
        <f>5915.99+1015.63</f>
        <v>6931.62</v>
      </c>
      <c r="T143" s="39">
        <v>3780.98</v>
      </c>
      <c r="U143" s="16"/>
      <c r="V143" s="84">
        <v>3569.28</v>
      </c>
      <c r="W143" s="38">
        <f>+W137*0.075</f>
        <v>3413.8409999999999</v>
      </c>
      <c r="Y143" s="32">
        <f>+Y137*AA143</f>
        <v>3665.65056</v>
      </c>
      <c r="Z143" s="86"/>
      <c r="AA143" s="77">
        <f>+V143/V137</f>
        <v>7.6502057613168722E-2</v>
      </c>
    </row>
    <row r="144" spans="1:27" ht="16.2" thickTop="1" x14ac:dyDescent="0.3">
      <c r="A144" s="18" t="s">
        <v>87</v>
      </c>
      <c r="B144" s="18"/>
      <c r="C144" s="18"/>
      <c r="D144" s="27">
        <f>ROUND(SUM(D136:D137)+SUM(D141:D143),5)</f>
        <v>27080.91</v>
      </c>
      <c r="E144" s="28"/>
      <c r="F144" s="28"/>
      <c r="G144" s="27">
        <f>ROUND(SUM(G136:G137)+SUM(G141:G143),5)</f>
        <v>50000</v>
      </c>
      <c r="H144" s="27"/>
      <c r="I144" s="27">
        <f>ROUND(SUM(I136:I137)+SUM(I141:I143),5)</f>
        <v>56553.54</v>
      </c>
      <c r="J144" s="28"/>
      <c r="K144" s="27">
        <f>ROUND(SUM(K136:K137)+SUM(K141:K143),5)</f>
        <v>56586</v>
      </c>
      <c r="L144" s="28"/>
      <c r="M144" s="29">
        <f t="shared" si="1"/>
        <v>0.99943000000000004</v>
      </c>
      <c r="P144" s="30">
        <f>+P143+P142+P141+P137</f>
        <v>59622.649999999994</v>
      </c>
      <c r="Q144" s="30">
        <f>+Q143+Q142+Q141+Q137</f>
        <v>59789.8</v>
      </c>
      <c r="R144" s="30"/>
      <c r="S144" s="31">
        <f>+S143+S142+S141+S137</f>
        <v>56727.06</v>
      </c>
      <c r="T144" s="31">
        <f>+T143+T142+T141+T137</f>
        <v>62361.758849999998</v>
      </c>
      <c r="U144" s="16"/>
      <c r="V144" s="70">
        <f>+V143+V142+V141+V137</f>
        <v>57191.31</v>
      </c>
      <c r="W144" s="31">
        <f>+W143+W142+W141+W137</f>
        <v>50614.489199999996</v>
      </c>
      <c r="Y144" s="70">
        <f>+Y143+Y142+Y141+Y137</f>
        <v>59800.098239999999</v>
      </c>
      <c r="Z144" s="86"/>
    </row>
    <row r="145" spans="1:26" x14ac:dyDescent="0.3">
      <c r="A145" s="18"/>
      <c r="B145" s="18"/>
      <c r="C145" s="18"/>
      <c r="D145" s="27"/>
      <c r="E145" s="28"/>
      <c r="F145" s="28"/>
      <c r="G145" s="27"/>
      <c r="H145" s="27"/>
      <c r="I145" s="27"/>
      <c r="J145" s="28"/>
      <c r="K145" s="27"/>
      <c r="L145" s="28"/>
      <c r="M145" s="29"/>
      <c r="P145" s="32"/>
      <c r="Q145" s="30"/>
      <c r="R145" s="30"/>
      <c r="S145" s="30"/>
      <c r="T145" s="31"/>
      <c r="U145" s="16"/>
      <c r="W145" s="30"/>
      <c r="Z145" s="86"/>
    </row>
    <row r="146" spans="1:26" ht="16.2" thickBot="1" x14ac:dyDescent="0.35">
      <c r="A146" s="18" t="s">
        <v>88</v>
      </c>
      <c r="B146" s="18"/>
      <c r="C146" s="18"/>
      <c r="D146" s="27"/>
      <c r="E146" s="28"/>
      <c r="F146" s="28"/>
      <c r="G146" s="27"/>
      <c r="H146" s="27"/>
      <c r="I146" s="27"/>
      <c r="J146" s="28"/>
      <c r="K146" s="27"/>
      <c r="L146" s="28"/>
      <c r="M146" s="29"/>
      <c r="P146" s="32"/>
      <c r="Q146" s="30"/>
      <c r="R146" s="30"/>
      <c r="S146" s="30"/>
      <c r="T146" s="31"/>
      <c r="U146" s="16"/>
      <c r="W146" s="30"/>
      <c r="Z146" s="86"/>
    </row>
    <row r="147" spans="1:26" hidden="1" x14ac:dyDescent="0.3">
      <c r="A147" s="18"/>
      <c r="B147" s="18" t="s">
        <v>89</v>
      </c>
      <c r="C147" s="18"/>
      <c r="D147" s="27">
        <v>6153.88</v>
      </c>
      <c r="E147" s="28"/>
      <c r="F147" s="28"/>
      <c r="G147" s="27">
        <v>6154</v>
      </c>
      <c r="H147" s="27"/>
      <c r="I147" s="27"/>
      <c r="J147" s="28"/>
      <c r="K147" s="27"/>
      <c r="L147" s="28"/>
      <c r="M147" s="29"/>
      <c r="P147" s="32"/>
      <c r="Q147" s="30"/>
      <c r="R147" s="30"/>
      <c r="S147" s="30"/>
      <c r="T147" s="31"/>
      <c r="U147" s="16"/>
      <c r="W147" s="30"/>
      <c r="Z147" s="86"/>
    </row>
    <row r="148" spans="1:26" hidden="1" x14ac:dyDescent="0.3">
      <c r="A148" s="18"/>
      <c r="B148" s="42" t="s">
        <v>90</v>
      </c>
      <c r="C148" s="18"/>
      <c r="D148" s="27">
        <v>470.76</v>
      </c>
      <c r="E148" s="28"/>
      <c r="F148" s="28"/>
      <c r="G148" s="27">
        <v>471</v>
      </c>
      <c r="H148" s="27"/>
      <c r="I148" s="27"/>
      <c r="J148" s="28"/>
      <c r="K148" s="27"/>
      <c r="L148" s="28"/>
      <c r="M148" s="29"/>
      <c r="P148" s="32"/>
      <c r="Q148" s="30"/>
      <c r="R148" s="30"/>
      <c r="S148" s="30"/>
      <c r="T148" s="31"/>
      <c r="U148" s="16"/>
      <c r="W148" s="30"/>
      <c r="Z148" s="86"/>
    </row>
    <row r="149" spans="1:26" hidden="1" x14ac:dyDescent="0.3">
      <c r="A149" s="18"/>
      <c r="B149" s="18" t="s">
        <v>91</v>
      </c>
      <c r="C149" s="18"/>
      <c r="D149" s="27"/>
      <c r="E149" s="28"/>
      <c r="F149" s="28"/>
      <c r="G149" s="27"/>
      <c r="H149" s="27"/>
      <c r="I149" s="27"/>
      <c r="J149" s="28"/>
      <c r="K149" s="27"/>
      <c r="L149" s="28"/>
      <c r="M149" s="29"/>
      <c r="P149" s="32"/>
      <c r="Q149" s="30"/>
      <c r="R149" s="30"/>
      <c r="S149" s="30"/>
      <c r="T149" s="31"/>
      <c r="U149" s="16"/>
      <c r="W149" s="30"/>
      <c r="Z149" s="86"/>
    </row>
    <row r="150" spans="1:26" hidden="1" x14ac:dyDescent="0.3">
      <c r="A150" s="18"/>
      <c r="B150" s="18"/>
      <c r="C150" s="18" t="s">
        <v>82</v>
      </c>
      <c r="D150" s="27">
        <v>447.78</v>
      </c>
      <c r="E150" s="28"/>
      <c r="F150" s="28"/>
      <c r="G150" s="27">
        <v>448</v>
      </c>
      <c r="H150" s="27"/>
      <c r="I150" s="27"/>
      <c r="J150" s="28"/>
      <c r="K150" s="27"/>
      <c r="L150" s="28"/>
      <c r="M150" s="29"/>
      <c r="P150" s="32"/>
      <c r="Q150" s="30"/>
      <c r="R150" s="30"/>
      <c r="S150" s="30"/>
      <c r="T150" s="31"/>
      <c r="U150" s="16"/>
      <c r="W150" s="30"/>
      <c r="Z150" s="86"/>
    </row>
    <row r="151" spans="1:26" ht="16.2" hidden="1" thickBot="1" x14ac:dyDescent="0.35">
      <c r="A151" s="18"/>
      <c r="B151" s="18"/>
      <c r="C151" s="18" t="s">
        <v>92</v>
      </c>
      <c r="D151" s="27"/>
      <c r="E151" s="28"/>
      <c r="F151" s="28"/>
      <c r="G151" s="27"/>
      <c r="H151" s="27"/>
      <c r="I151" s="27"/>
      <c r="J151" s="28"/>
      <c r="K151" s="27"/>
      <c r="L151" s="28"/>
      <c r="M151" s="29"/>
      <c r="P151" s="32"/>
      <c r="Q151" s="30"/>
      <c r="R151" s="30"/>
      <c r="S151" s="30"/>
      <c r="T151" s="31"/>
      <c r="U151" s="16"/>
      <c r="W151" s="30"/>
      <c r="Z151" s="86"/>
    </row>
    <row r="152" spans="1:26" ht="16.2" thickBot="1" x14ac:dyDescent="0.35">
      <c r="A152" s="18"/>
      <c r="B152" s="18" t="s">
        <v>93</v>
      </c>
      <c r="C152" s="18"/>
      <c r="D152" s="41">
        <f>ROUND(SUM(D149:D150),5)</f>
        <v>447.78</v>
      </c>
      <c r="E152" s="28"/>
      <c r="F152" s="28"/>
      <c r="G152" s="41">
        <f>ROUND(SUM(G149:G150),5)</f>
        <v>448</v>
      </c>
      <c r="H152" s="27"/>
      <c r="I152" s="27"/>
      <c r="J152" s="28"/>
      <c r="K152" s="27"/>
      <c r="L152" s="28"/>
      <c r="M152" s="29"/>
      <c r="P152" s="32"/>
      <c r="Q152" s="30"/>
      <c r="R152" s="30"/>
      <c r="S152" s="38">
        <v>47</v>
      </c>
      <c r="T152" s="31"/>
      <c r="U152" s="16"/>
      <c r="V152" s="69"/>
      <c r="W152" s="30"/>
      <c r="Z152" s="86"/>
    </row>
    <row r="153" spans="1:26" ht="16.2" thickTop="1" x14ac:dyDescent="0.3">
      <c r="A153" s="18" t="s">
        <v>94</v>
      </c>
      <c r="B153" s="18"/>
      <c r="C153" s="18"/>
      <c r="D153" s="27">
        <f>ROUND(SUM(D146:D148)+D152,5)</f>
        <v>7072.42</v>
      </c>
      <c r="E153" s="28"/>
      <c r="F153" s="28"/>
      <c r="G153" s="27">
        <f>ROUND(SUM(G146:G148)+G152,5)</f>
        <v>7073</v>
      </c>
      <c r="H153" s="27"/>
      <c r="I153" s="27"/>
      <c r="J153" s="28"/>
      <c r="K153" s="27"/>
      <c r="L153" s="28"/>
      <c r="M153" s="29"/>
      <c r="P153" s="32"/>
      <c r="Q153" s="30"/>
      <c r="R153" s="30"/>
      <c r="S153" s="30">
        <f>+S152</f>
        <v>47</v>
      </c>
      <c r="T153" s="31"/>
      <c r="U153" s="16"/>
      <c r="V153" s="32">
        <f>+V152</f>
        <v>0</v>
      </c>
      <c r="W153" s="62">
        <v>0</v>
      </c>
      <c r="Y153" s="32">
        <v>0</v>
      </c>
      <c r="Z153" s="86"/>
    </row>
    <row r="154" spans="1:26" x14ac:dyDescent="0.3">
      <c r="A154" s="18"/>
      <c r="B154" s="18"/>
      <c r="C154" s="18"/>
      <c r="D154" s="27"/>
      <c r="E154" s="28"/>
      <c r="F154" s="28"/>
      <c r="G154" s="27"/>
      <c r="H154" s="27"/>
      <c r="I154" s="27"/>
      <c r="J154" s="28"/>
      <c r="K154" s="27"/>
      <c r="L154" s="28"/>
      <c r="M154" s="29"/>
      <c r="P154" s="32"/>
      <c r="Q154" s="30"/>
      <c r="R154" s="30"/>
      <c r="S154" s="30"/>
      <c r="T154" s="31"/>
      <c r="U154" s="16"/>
      <c r="W154" s="30" t="s">
        <v>150</v>
      </c>
      <c r="Z154" s="86"/>
    </row>
    <row r="155" spans="1:26" x14ac:dyDescent="0.3">
      <c r="A155" s="18" t="s">
        <v>95</v>
      </c>
      <c r="B155" s="18"/>
      <c r="C155" s="18"/>
      <c r="D155" s="27"/>
      <c r="E155" s="28"/>
      <c r="F155" s="28"/>
      <c r="G155" s="27"/>
      <c r="H155" s="27"/>
      <c r="I155" s="27"/>
      <c r="J155" s="28"/>
      <c r="K155" s="27"/>
      <c r="L155" s="28"/>
      <c r="M155" s="29"/>
      <c r="P155" s="32"/>
      <c r="Q155" s="30"/>
      <c r="R155" s="30"/>
      <c r="S155" s="30"/>
      <c r="T155" s="31"/>
      <c r="U155" s="16"/>
      <c r="W155" s="30"/>
      <c r="Z155" s="86"/>
    </row>
    <row r="156" spans="1:26" x14ac:dyDescent="0.3">
      <c r="A156" s="18"/>
      <c r="B156" s="18" t="s">
        <v>80</v>
      </c>
      <c r="C156" s="18"/>
      <c r="D156" s="27">
        <v>38448</v>
      </c>
      <c r="E156" s="28"/>
      <c r="F156" s="28"/>
      <c r="G156" s="27">
        <v>38148</v>
      </c>
      <c r="H156" s="27"/>
      <c r="I156" s="27">
        <v>38292.239999999998</v>
      </c>
      <c r="J156" s="28"/>
      <c r="K156" s="27">
        <v>39620</v>
      </c>
      <c r="L156" s="28"/>
      <c r="M156" s="29">
        <f>ROUND(IF(K156=0, IF(I156=0, 0, 1), I156/K156),5)</f>
        <v>0.96648999999999996</v>
      </c>
      <c r="P156" s="32">
        <v>40589.760000000002</v>
      </c>
      <c r="Q156" s="30">
        <f>38292*1.06</f>
        <v>40589.520000000004</v>
      </c>
      <c r="R156" s="30"/>
      <c r="S156" s="30">
        <v>42213.36</v>
      </c>
      <c r="T156" s="31">
        <v>42213.1</v>
      </c>
      <c r="U156" s="16"/>
      <c r="V156" s="84">
        <v>43269</v>
      </c>
      <c r="W156" s="30">
        <v>43268.43</v>
      </c>
      <c r="Y156" s="32">
        <f>+W156*1.027</f>
        <v>44436.677609999999</v>
      </c>
      <c r="Z156" s="86"/>
    </row>
    <row r="157" spans="1:26" x14ac:dyDescent="0.3">
      <c r="A157" s="18"/>
      <c r="B157" s="18" t="s">
        <v>96</v>
      </c>
      <c r="C157" s="18"/>
      <c r="D157" s="27">
        <v>510</v>
      </c>
      <c r="E157" s="28"/>
      <c r="F157" s="28"/>
      <c r="G157" s="27">
        <v>510</v>
      </c>
      <c r="H157" s="27"/>
      <c r="I157" s="27">
        <v>510</v>
      </c>
      <c r="J157" s="28"/>
      <c r="K157" s="27">
        <v>510</v>
      </c>
      <c r="L157" s="28"/>
      <c r="M157" s="29">
        <f>ROUND(IF(K157=0, IF(I157=0, 0, 1), I157/K157),5)</f>
        <v>1</v>
      </c>
      <c r="P157" s="32">
        <v>531</v>
      </c>
      <c r="Q157" s="30">
        <v>510</v>
      </c>
      <c r="R157" s="30"/>
      <c r="S157" s="30">
        <v>552</v>
      </c>
      <c r="T157" s="31">
        <v>600</v>
      </c>
      <c r="U157" s="16"/>
      <c r="V157" s="84">
        <v>611</v>
      </c>
      <c r="W157" s="30">
        <v>600</v>
      </c>
      <c r="Y157" s="32">
        <v>600</v>
      </c>
      <c r="Z157" s="86"/>
    </row>
    <row r="158" spans="1:26" ht="16.2" thickBot="1" x14ac:dyDescent="0.35">
      <c r="A158" s="18"/>
      <c r="B158" s="18" t="s">
        <v>97</v>
      </c>
      <c r="C158" s="18"/>
      <c r="D158" s="33">
        <v>11862</v>
      </c>
      <c r="E158" s="28"/>
      <c r="F158" s="28"/>
      <c r="G158" s="33">
        <v>11900</v>
      </c>
      <c r="H158" s="27"/>
      <c r="I158" s="33">
        <v>13488.2</v>
      </c>
      <c r="J158" s="28"/>
      <c r="K158" s="33">
        <v>12840</v>
      </c>
      <c r="L158" s="28"/>
      <c r="M158" s="34">
        <f>ROUND(IF(K158=0, IF(I158=0, 0, 1), I158/K158),5)</f>
        <v>1.0504800000000001</v>
      </c>
      <c r="P158" s="37">
        <v>14643</v>
      </c>
      <c r="Q158" s="38">
        <v>13500</v>
      </c>
      <c r="R158" s="38"/>
      <c r="S158" s="38">
        <v>15084</v>
      </c>
      <c r="T158" s="39">
        <v>15000</v>
      </c>
      <c r="U158" s="16"/>
      <c r="V158" s="84">
        <v>17548.09</v>
      </c>
      <c r="W158" s="38">
        <v>17000</v>
      </c>
      <c r="Y158" s="32">
        <v>17000</v>
      </c>
      <c r="Z158" s="86"/>
    </row>
    <row r="159" spans="1:26" ht="16.2" thickTop="1" x14ac:dyDescent="0.3">
      <c r="A159" s="18" t="s">
        <v>98</v>
      </c>
      <c r="B159" s="18"/>
      <c r="C159" s="18"/>
      <c r="D159" s="27">
        <f>ROUND(SUM(D155:D158),5)</f>
        <v>50820</v>
      </c>
      <c r="E159" s="28"/>
      <c r="F159" s="28"/>
      <c r="G159" s="27">
        <f>ROUND(SUM(G155:G158),5)</f>
        <v>50558</v>
      </c>
      <c r="H159" s="27"/>
      <c r="I159" s="27">
        <f>ROUND(SUM(I155:I158),5)</f>
        <v>52290.44</v>
      </c>
      <c r="J159" s="28"/>
      <c r="K159" s="27">
        <f>ROUND(SUM(K155:K158),5)</f>
        <v>52970</v>
      </c>
      <c r="L159" s="28"/>
      <c r="M159" s="29">
        <f>ROUND(IF(K159=0, IF(I159=0, 0, 1), I159/K159),5)</f>
        <v>0.98716999999999999</v>
      </c>
      <c r="P159" s="30">
        <f>+P158+P157+P156</f>
        <v>55763.76</v>
      </c>
      <c r="Q159" s="30">
        <f>+Q158+Q157+Q156</f>
        <v>54599.520000000004</v>
      </c>
      <c r="R159" s="30"/>
      <c r="S159" s="31">
        <f>+S158+S157+S156</f>
        <v>57849.36</v>
      </c>
      <c r="T159" s="31">
        <f>+T158+T157+T156</f>
        <v>57813.1</v>
      </c>
      <c r="U159" s="16"/>
      <c r="V159" s="70">
        <f>+V158+V157+V156</f>
        <v>61428.09</v>
      </c>
      <c r="W159" s="31">
        <f>+W158+W157+W156</f>
        <v>60868.43</v>
      </c>
      <c r="Y159" s="70">
        <f>+Y158+Y157+Y156</f>
        <v>62036.677609999999</v>
      </c>
      <c r="Z159" s="86"/>
    </row>
    <row r="160" spans="1:26" x14ac:dyDescent="0.3">
      <c r="A160" s="18"/>
      <c r="B160" s="18"/>
      <c r="C160" s="18"/>
      <c r="D160" s="27"/>
      <c r="E160" s="28"/>
      <c r="F160" s="28"/>
      <c r="G160" s="27"/>
      <c r="H160" s="27"/>
      <c r="I160" s="27"/>
      <c r="J160" s="28"/>
      <c r="K160" s="27"/>
      <c r="L160" s="28"/>
      <c r="M160" s="29"/>
      <c r="P160" s="32"/>
      <c r="Q160" s="30"/>
      <c r="R160" s="30"/>
      <c r="S160" s="30"/>
      <c r="T160" s="31"/>
      <c r="U160" s="16"/>
      <c r="W160" s="30"/>
      <c r="Z160" s="86"/>
    </row>
    <row r="161" spans="1:28" x14ac:dyDescent="0.3">
      <c r="A161" s="18" t="s">
        <v>99</v>
      </c>
      <c r="B161" s="18"/>
      <c r="C161" s="18"/>
      <c r="D161" s="27"/>
      <c r="E161" s="28"/>
      <c r="F161" s="28"/>
      <c r="G161" s="27"/>
      <c r="H161" s="27"/>
      <c r="I161" s="27"/>
      <c r="J161" s="28"/>
      <c r="K161" s="27"/>
      <c r="L161" s="28"/>
      <c r="M161" s="29"/>
      <c r="P161" s="32"/>
      <c r="Q161" s="30"/>
      <c r="R161" s="30"/>
      <c r="S161" s="30"/>
      <c r="T161" s="31"/>
      <c r="U161" s="16"/>
      <c r="W161" s="30"/>
      <c r="Z161" s="86"/>
    </row>
    <row r="162" spans="1:28" x14ac:dyDescent="0.3">
      <c r="A162" s="18"/>
      <c r="B162" s="18" t="s">
        <v>89</v>
      </c>
      <c r="C162" s="18"/>
      <c r="D162" s="27">
        <v>116413</v>
      </c>
      <c r="E162" s="28"/>
      <c r="F162" s="28"/>
      <c r="G162" s="27">
        <v>116413</v>
      </c>
      <c r="H162" s="27"/>
      <c r="I162" s="27">
        <v>76636.5</v>
      </c>
      <c r="J162" s="28"/>
      <c r="K162" s="27">
        <v>121545</v>
      </c>
      <c r="L162" s="28"/>
      <c r="M162" s="29">
        <f>ROUND(IF(K162=0, IF(I162=0, 0, 1), I162/K162),5)</f>
        <v>0.63051999999999997</v>
      </c>
      <c r="P162" s="32">
        <v>118845.04</v>
      </c>
      <c r="Q162" s="30">
        <f>115000*1.06</f>
        <v>121900</v>
      </c>
      <c r="R162" s="30"/>
      <c r="S162" s="30">
        <v>129031.47</v>
      </c>
      <c r="T162" s="31">
        <v>111000</v>
      </c>
      <c r="U162" s="16"/>
      <c r="V162" s="84">
        <v>114860</v>
      </c>
      <c r="W162" s="30">
        <v>112058.47</v>
      </c>
      <c r="Y162" s="32">
        <f>+V162*1.027</f>
        <v>117961.21999999999</v>
      </c>
      <c r="Z162" s="86"/>
      <c r="AB162" s="77">
        <f>+(V162-W162)/W162</f>
        <v>2.5000609057039588E-2</v>
      </c>
    </row>
    <row r="163" spans="1:28" x14ac:dyDescent="0.3">
      <c r="A163" s="18"/>
      <c r="B163" s="18" t="s">
        <v>86</v>
      </c>
      <c r="C163" s="18"/>
      <c r="D163" s="27">
        <v>9000</v>
      </c>
      <c r="E163" s="28"/>
      <c r="F163" s="28"/>
      <c r="G163" s="27">
        <v>9000</v>
      </c>
      <c r="H163" s="27"/>
      <c r="I163" s="27">
        <v>6788.31</v>
      </c>
      <c r="J163" s="28"/>
      <c r="K163" s="27">
        <v>9277</v>
      </c>
      <c r="L163" s="28"/>
      <c r="M163" s="29">
        <f>ROUND(IF(K163=0, IF(I163=0, 0, 1), I163/K163),5)</f>
        <v>0.73173999999999995</v>
      </c>
      <c r="P163" s="32">
        <v>9091.65</v>
      </c>
      <c r="Q163" s="30">
        <v>8600</v>
      </c>
      <c r="R163" s="30"/>
      <c r="S163" s="30">
        <v>6064.83</v>
      </c>
      <c r="T163" s="31">
        <f>T162*0.0765</f>
        <v>8491.5</v>
      </c>
      <c r="U163" s="16"/>
      <c r="V163" s="84">
        <v>8787</v>
      </c>
      <c r="W163" s="31">
        <f>W162*0.0765</f>
        <v>8572.4729549999993</v>
      </c>
      <c r="Y163" s="32">
        <f>+Y162*AA163</f>
        <v>9024.0333299999984</v>
      </c>
      <c r="Z163" s="86"/>
      <c r="AA163" s="77">
        <f>+W163/W162</f>
        <v>7.6499999999999999E-2</v>
      </c>
    </row>
    <row r="164" spans="1:28" x14ac:dyDescent="0.3">
      <c r="A164" s="18"/>
      <c r="B164" s="18" t="s">
        <v>85</v>
      </c>
      <c r="C164" s="18"/>
      <c r="D164" s="27">
        <v>1808.24</v>
      </c>
      <c r="E164" s="28"/>
      <c r="F164" s="28"/>
      <c r="G164" s="27">
        <v>2000</v>
      </c>
      <c r="H164" s="27"/>
      <c r="I164" s="27">
        <v>4454.47</v>
      </c>
      <c r="J164" s="28"/>
      <c r="K164" s="27">
        <v>1500</v>
      </c>
      <c r="L164" s="28"/>
      <c r="M164" s="29">
        <f>ROUND(IF(K164=0, IF(I164=0, 0, 1), I164/K164),5)</f>
        <v>2.9696500000000001</v>
      </c>
      <c r="P164" s="32">
        <v>11437.5</v>
      </c>
      <c r="Q164" s="30">
        <v>1500</v>
      </c>
      <c r="R164" s="30"/>
      <c r="S164" s="30">
        <v>4262.17</v>
      </c>
      <c r="T164" s="31">
        <v>6000</v>
      </c>
      <c r="U164" s="16"/>
      <c r="V164" s="84">
        <v>1695.72</v>
      </c>
      <c r="W164" s="30">
        <v>2000</v>
      </c>
      <c r="Y164" s="32">
        <v>2000</v>
      </c>
      <c r="Z164" s="86"/>
    </row>
    <row r="165" spans="1:28" x14ac:dyDescent="0.3">
      <c r="A165" s="18"/>
      <c r="B165" s="18" t="s">
        <v>91</v>
      </c>
      <c r="C165" s="18"/>
      <c r="D165" s="27"/>
      <c r="E165" s="28"/>
      <c r="F165" s="28"/>
      <c r="G165" s="27"/>
      <c r="H165" s="27"/>
      <c r="I165" s="27"/>
      <c r="J165" s="28"/>
      <c r="K165" s="27"/>
      <c r="L165" s="28"/>
      <c r="M165" s="29"/>
      <c r="P165" s="32"/>
      <c r="Q165" s="30"/>
      <c r="R165" s="30"/>
      <c r="S165" s="30"/>
      <c r="T165" s="31"/>
      <c r="U165" s="16"/>
      <c r="V165" s="84"/>
      <c r="W165" s="30"/>
      <c r="Z165" s="86"/>
    </row>
    <row r="166" spans="1:28" x14ac:dyDescent="0.3">
      <c r="A166" s="18"/>
      <c r="B166" s="18" t="s">
        <v>96</v>
      </c>
      <c r="C166" s="18" t="s">
        <v>96</v>
      </c>
      <c r="D166" s="27">
        <v>984</v>
      </c>
      <c r="E166" s="28"/>
      <c r="F166" s="28"/>
      <c r="G166" s="27">
        <v>983</v>
      </c>
      <c r="H166" s="27"/>
      <c r="I166" s="27">
        <v>656</v>
      </c>
      <c r="J166" s="28"/>
      <c r="K166" s="27">
        <v>984</v>
      </c>
      <c r="L166" s="28"/>
      <c r="M166" s="29">
        <f t="shared" ref="M166:M173" si="2">ROUND(IF(K166=0, IF(I166=0, 0, 1), I166/K166),5)</f>
        <v>0.66666999999999998</v>
      </c>
      <c r="P166" s="32">
        <v>1020</v>
      </c>
      <c r="Q166" s="30">
        <v>1000</v>
      </c>
      <c r="R166" s="30"/>
      <c r="S166" s="30">
        <v>798.77</v>
      </c>
      <c r="T166" s="31">
        <v>1065</v>
      </c>
      <c r="U166" s="16"/>
      <c r="V166" s="84"/>
      <c r="W166" s="30">
        <v>0</v>
      </c>
      <c r="Y166" s="32">
        <v>0</v>
      </c>
      <c r="Z166" s="86"/>
    </row>
    <row r="167" spans="1:28" x14ac:dyDescent="0.3">
      <c r="A167" s="18"/>
      <c r="B167" s="18" t="s">
        <v>162</v>
      </c>
      <c r="C167" s="18" t="s">
        <v>100</v>
      </c>
      <c r="D167" s="27">
        <v>20127</v>
      </c>
      <c r="E167" s="28"/>
      <c r="F167" s="28"/>
      <c r="G167" s="27">
        <v>23541</v>
      </c>
      <c r="H167" s="27"/>
      <c r="I167" s="27">
        <v>3840</v>
      </c>
      <c r="J167" s="28"/>
      <c r="K167" s="27">
        <v>5760</v>
      </c>
      <c r="L167" s="28"/>
      <c r="M167" s="29">
        <f t="shared" si="2"/>
        <v>0.66666999999999998</v>
      </c>
      <c r="P167" s="32">
        <v>6249.3</v>
      </c>
      <c r="Q167" s="30">
        <v>6000</v>
      </c>
      <c r="R167" s="30"/>
      <c r="S167" s="30">
        <v>4791.3</v>
      </c>
      <c r="T167" s="31">
        <v>6400</v>
      </c>
      <c r="U167" s="16"/>
      <c r="V167" s="84"/>
      <c r="W167" s="30">
        <v>0</v>
      </c>
      <c r="Y167" s="32">
        <v>0</v>
      </c>
      <c r="Z167" s="86"/>
    </row>
    <row r="168" spans="1:28" x14ac:dyDescent="0.3">
      <c r="A168" s="18"/>
      <c r="B168" s="18" t="s">
        <v>163</v>
      </c>
      <c r="C168" s="18" t="s">
        <v>92</v>
      </c>
      <c r="D168" s="27">
        <v>1746.24</v>
      </c>
      <c r="E168" s="28"/>
      <c r="F168" s="28"/>
      <c r="G168" s="27">
        <v>1750</v>
      </c>
      <c r="H168" s="27"/>
      <c r="I168" s="27">
        <v>1142.68</v>
      </c>
      <c r="J168" s="28"/>
      <c r="K168" s="27">
        <v>1746</v>
      </c>
      <c r="L168" s="28"/>
      <c r="M168" s="29">
        <f t="shared" si="2"/>
        <v>0.65446000000000004</v>
      </c>
      <c r="P168" s="32">
        <v>1541.65</v>
      </c>
      <c r="Q168" s="30">
        <v>1750</v>
      </c>
      <c r="R168" s="30"/>
      <c r="S168" s="30">
        <v>1329.04</v>
      </c>
      <c r="T168" s="31">
        <f>T162*0.015</f>
        <v>1665</v>
      </c>
      <c r="U168" s="16"/>
      <c r="V168" s="84">
        <v>1821.04</v>
      </c>
      <c r="W168" s="31">
        <f>W162*0.015</f>
        <v>1680.8770500000001</v>
      </c>
      <c r="Y168" s="32">
        <f>+Y162*AA168</f>
        <v>1769.4183</v>
      </c>
      <c r="Z168" s="86"/>
      <c r="AA168" s="77">
        <f>+W168/W162</f>
        <v>1.5000000000000001E-2</v>
      </c>
    </row>
    <row r="169" spans="1:28" ht="16.2" thickBot="1" x14ac:dyDescent="0.35">
      <c r="A169" s="18"/>
      <c r="B169" s="18" t="s">
        <v>82</v>
      </c>
      <c r="C169" s="18" t="s">
        <v>82</v>
      </c>
      <c r="D169" s="27">
        <v>14551.68</v>
      </c>
      <c r="E169" s="28"/>
      <c r="F169" s="28"/>
      <c r="G169" s="27">
        <v>14552</v>
      </c>
      <c r="H169" s="27"/>
      <c r="I169" s="27">
        <v>10082.76</v>
      </c>
      <c r="J169" s="28"/>
      <c r="K169" s="27">
        <v>14552</v>
      </c>
      <c r="L169" s="28"/>
      <c r="M169" s="29">
        <f t="shared" si="2"/>
        <v>0.69288000000000005</v>
      </c>
      <c r="P169" s="58">
        <v>15696.6</v>
      </c>
      <c r="Q169" s="38">
        <v>15000</v>
      </c>
      <c r="R169" s="38"/>
      <c r="S169" s="38">
        <v>18180.349999999999</v>
      </c>
      <c r="T169" s="39">
        <f>T162*0.14</f>
        <v>15540.000000000002</v>
      </c>
      <c r="U169" s="16"/>
      <c r="V169" s="84">
        <v>17270.55</v>
      </c>
      <c r="W169" s="39">
        <f>W162*0.14</f>
        <v>15688.185800000001</v>
      </c>
      <c r="Y169" s="32">
        <f>+Y162*AA169</f>
        <v>16514.570800000001</v>
      </c>
      <c r="Z169" s="86"/>
      <c r="AA169" s="77">
        <f>+W169/W162</f>
        <v>0.14000000000000001</v>
      </c>
    </row>
    <row r="170" spans="1:28" ht="16.8" thickTop="1" thickBot="1" x14ac:dyDescent="0.35">
      <c r="A170" s="18"/>
      <c r="B170" s="18" t="s">
        <v>93</v>
      </c>
      <c r="C170" s="18"/>
      <c r="D170" s="41">
        <f>ROUND(SUM(D165:D169),5)</f>
        <v>37408.92</v>
      </c>
      <c r="E170" s="28"/>
      <c r="F170" s="28"/>
      <c r="G170" s="41">
        <f>ROUND(SUM(G165:G169),5)</f>
        <v>40826</v>
      </c>
      <c r="H170" s="27"/>
      <c r="I170" s="41">
        <f>ROUND(SUM(I165:I169),5)</f>
        <v>15721.44</v>
      </c>
      <c r="J170" s="28"/>
      <c r="K170" s="41">
        <f>ROUND(SUM(K165:K169),5)</f>
        <v>23042</v>
      </c>
      <c r="L170" s="28"/>
      <c r="M170" s="49">
        <f t="shared" si="2"/>
        <v>0.68228999999999995</v>
      </c>
      <c r="P170" s="38">
        <f>+P169+P168+P167+P166</f>
        <v>24507.55</v>
      </c>
      <c r="Q170" s="50">
        <f>+Q169+Q168+Q167+Q166</f>
        <v>23750</v>
      </c>
      <c r="R170" s="50"/>
      <c r="S170" s="51">
        <f>+S169+S168+S167+S166</f>
        <v>25099.46</v>
      </c>
      <c r="T170" s="51">
        <f>+T169+T168+T167+T166</f>
        <v>24670</v>
      </c>
      <c r="U170" s="16"/>
      <c r="V170" s="70">
        <f>+V169+V168+V167+V166</f>
        <v>19091.59</v>
      </c>
      <c r="W170" s="39">
        <f>+W169+W168+W167+W166</f>
        <v>17369.062850000002</v>
      </c>
      <c r="Y170" s="70">
        <f>+Y169+Y168+Y167+Y166</f>
        <v>18283.989100000003</v>
      </c>
      <c r="Z170" s="86"/>
    </row>
    <row r="171" spans="1:28" ht="16.2" thickTop="1" x14ac:dyDescent="0.3">
      <c r="A171" s="18" t="s">
        <v>101</v>
      </c>
      <c r="B171" s="18"/>
      <c r="C171" s="18"/>
      <c r="D171" s="27">
        <f>ROUND(SUM(D161:D164)+D170,5)</f>
        <v>164630.16</v>
      </c>
      <c r="E171" s="28"/>
      <c r="F171" s="28"/>
      <c r="G171" s="27">
        <f>ROUND(SUM(G161:G164)+G170,5)</f>
        <v>168239</v>
      </c>
      <c r="H171" s="27"/>
      <c r="I171" s="27">
        <f>ROUND(SUM(I161:I164)+I170,5)</f>
        <v>103600.72</v>
      </c>
      <c r="J171" s="28"/>
      <c r="K171" s="27">
        <f>ROUND(SUM(K161:K164)+K170,5)</f>
        <v>155364</v>
      </c>
      <c r="L171" s="28"/>
      <c r="M171" s="29">
        <f t="shared" si="2"/>
        <v>0.66683000000000003</v>
      </c>
      <c r="P171" s="30">
        <f>+P170+P164+P163+P162</f>
        <v>163881.74</v>
      </c>
      <c r="Q171" s="30">
        <f>+Q170+Q164+Q163+Q162</f>
        <v>155750</v>
      </c>
      <c r="R171" s="30"/>
      <c r="S171" s="31">
        <f>+S170+S164+S163+S162</f>
        <v>164457.93</v>
      </c>
      <c r="T171" s="31">
        <f>+T170+T164+T163+T162</f>
        <v>150161.5</v>
      </c>
      <c r="U171" s="16"/>
      <c r="V171" s="70">
        <f>+V170+V164+V163+V162</f>
        <v>144434.31</v>
      </c>
      <c r="W171" s="31">
        <f>+W170+W164+W163+W162</f>
        <v>140000.00580499999</v>
      </c>
      <c r="Y171" s="70">
        <f>+Y170+Y164+Y163+Y162</f>
        <v>147269.24242999998</v>
      </c>
      <c r="Z171" s="86"/>
    </row>
    <row r="172" spans="1:28" ht="16.2" thickBot="1" x14ac:dyDescent="0.35">
      <c r="A172" s="18" t="s">
        <v>102</v>
      </c>
      <c r="B172" s="18"/>
      <c r="C172" s="18"/>
      <c r="D172" s="33">
        <v>900</v>
      </c>
      <c r="E172" s="28"/>
      <c r="F172" s="28"/>
      <c r="G172" s="33">
        <v>600</v>
      </c>
      <c r="H172" s="27"/>
      <c r="I172" s="33">
        <v>2100</v>
      </c>
      <c r="J172" s="28"/>
      <c r="K172" s="33">
        <v>300</v>
      </c>
      <c r="L172" s="28"/>
      <c r="M172" s="34">
        <f t="shared" si="2"/>
        <v>7</v>
      </c>
      <c r="P172" s="37">
        <v>300</v>
      </c>
      <c r="Q172" s="38">
        <v>500</v>
      </c>
      <c r="R172" s="38"/>
      <c r="S172" s="38">
        <v>600</v>
      </c>
      <c r="T172" s="39">
        <v>500</v>
      </c>
      <c r="U172" s="16"/>
      <c r="V172" s="84">
        <v>300</v>
      </c>
      <c r="W172" s="38">
        <v>600</v>
      </c>
      <c r="Y172" s="32">
        <v>600</v>
      </c>
      <c r="Z172" s="86"/>
    </row>
    <row r="173" spans="1:28" ht="16.2" thickTop="1" x14ac:dyDescent="0.3">
      <c r="A173" s="18" t="s">
        <v>103</v>
      </c>
      <c r="B173" s="18"/>
      <c r="C173" s="18"/>
      <c r="D173" s="27">
        <v>250503.49</v>
      </c>
      <c r="E173" s="28"/>
      <c r="F173" s="28"/>
      <c r="G173" s="27">
        <v>276270</v>
      </c>
      <c r="H173" s="27"/>
      <c r="I173" s="27">
        <f>ROUND(SUM(I134:I135)+I144+I159+SUM(I171:I172),5)</f>
        <v>221194.7</v>
      </c>
      <c r="J173" s="28"/>
      <c r="K173" s="27">
        <f>ROUND(SUM(K134:K135)+K144+K159+SUM(K171:K172),5)</f>
        <v>265220</v>
      </c>
      <c r="L173" s="28"/>
      <c r="M173" s="29">
        <f t="shared" si="2"/>
        <v>0.83399999999999996</v>
      </c>
      <c r="P173" s="31">
        <f>+P172+P171+P159+P144</f>
        <v>279568.15000000002</v>
      </c>
      <c r="Q173" s="31">
        <f>+Q172+Q171+Q159+Q144</f>
        <v>270639.32</v>
      </c>
      <c r="R173" s="30"/>
      <c r="S173" s="31">
        <f>+S172+S171+S159+S144</f>
        <v>279634.34999999998</v>
      </c>
      <c r="T173" s="31">
        <f>+T172+T171+T159+T144</f>
        <v>270836.35885000002</v>
      </c>
      <c r="U173" s="16"/>
      <c r="V173" s="70">
        <f>+V172+V171+V159+V144</f>
        <v>263353.70999999996</v>
      </c>
      <c r="W173" s="31">
        <f>+W172+W171+W159+W153+W144</f>
        <v>252082.92500499997</v>
      </c>
      <c r="Y173" s="70">
        <f>+Y172+Y171+Y159+Y144</f>
        <v>269706.01828000002</v>
      </c>
      <c r="Z173" s="86"/>
    </row>
    <row r="174" spans="1:28" x14ac:dyDescent="0.3">
      <c r="A174" s="18"/>
      <c r="B174" s="18"/>
      <c r="C174" s="18"/>
      <c r="D174" s="27"/>
      <c r="E174" s="28"/>
      <c r="F174" s="28"/>
      <c r="G174" s="27"/>
      <c r="H174" s="27"/>
      <c r="I174" s="27"/>
      <c r="J174" s="28"/>
      <c r="K174" s="27"/>
      <c r="L174" s="28"/>
      <c r="M174" s="29"/>
      <c r="P174" s="32"/>
      <c r="Q174" s="30"/>
      <c r="R174" s="30"/>
      <c r="S174" s="30"/>
      <c r="T174" s="31"/>
      <c r="U174" s="16"/>
      <c r="W174" s="30"/>
      <c r="Z174" s="86"/>
    </row>
    <row r="175" spans="1:28" x14ac:dyDescent="0.3">
      <c r="A175" s="18"/>
      <c r="B175" s="18"/>
      <c r="C175" s="18"/>
      <c r="D175" s="27"/>
      <c r="E175" s="28"/>
      <c r="F175" s="28"/>
      <c r="G175" s="27"/>
      <c r="H175" s="27"/>
      <c r="I175" s="27"/>
      <c r="J175" s="28"/>
      <c r="K175" s="27"/>
      <c r="L175" s="28"/>
      <c r="M175" s="29"/>
      <c r="P175" s="32"/>
      <c r="Q175" s="30"/>
      <c r="R175" s="30"/>
      <c r="S175" s="30"/>
      <c r="T175" s="31"/>
      <c r="U175" s="16"/>
      <c r="W175" s="30"/>
      <c r="Z175" s="86"/>
    </row>
    <row r="176" spans="1:28" x14ac:dyDescent="0.3">
      <c r="A176" s="18" t="s">
        <v>104</v>
      </c>
      <c r="B176" s="18"/>
      <c r="C176" s="18"/>
      <c r="D176" s="27">
        <v>4547.53</v>
      </c>
      <c r="E176" s="28"/>
      <c r="F176" s="28"/>
      <c r="G176" s="27">
        <v>4300</v>
      </c>
      <c r="H176" s="27"/>
      <c r="I176" s="27">
        <v>4316</v>
      </c>
      <c r="J176" s="28"/>
      <c r="K176" s="27">
        <v>4300</v>
      </c>
      <c r="L176" s="28"/>
      <c r="M176" s="29">
        <f t="shared" ref="M176:M186" si="3">ROUND(IF(K176=0, IF(I176=0, 0, 1), I176/K176),5)</f>
        <v>1.0037199999999999</v>
      </c>
      <c r="P176" s="32">
        <v>4575.12</v>
      </c>
      <c r="Q176" s="30">
        <v>4300</v>
      </c>
      <c r="R176" s="30"/>
      <c r="S176" s="30">
        <v>4758.24</v>
      </c>
      <c r="T176" s="31">
        <v>4600</v>
      </c>
      <c r="U176" s="16"/>
      <c r="V176" s="84">
        <v>4877</v>
      </c>
      <c r="W176" s="30">
        <v>4715</v>
      </c>
      <c r="Y176" s="32">
        <f>+V176*1.027</f>
        <v>5008.6789999999992</v>
      </c>
      <c r="Z176" s="86"/>
    </row>
    <row r="177" spans="1:26" x14ac:dyDescent="0.3">
      <c r="A177" s="18" t="s">
        <v>105</v>
      </c>
      <c r="B177" s="18"/>
      <c r="C177" s="18"/>
      <c r="D177" s="27">
        <v>3228.7</v>
      </c>
      <c r="E177" s="28"/>
      <c r="F177" s="28"/>
      <c r="G177" s="27">
        <v>1600</v>
      </c>
      <c r="H177" s="27"/>
      <c r="I177" s="27">
        <v>2955.45</v>
      </c>
      <c r="J177" s="28"/>
      <c r="K177" s="27">
        <v>2700</v>
      </c>
      <c r="L177" s="28"/>
      <c r="M177" s="29">
        <f t="shared" si="3"/>
        <v>1.0946100000000001</v>
      </c>
      <c r="P177" s="32">
        <v>3099</v>
      </c>
      <c r="Q177" s="30">
        <v>3300</v>
      </c>
      <c r="R177" s="30"/>
      <c r="S177" s="30">
        <v>2762.75</v>
      </c>
      <c r="T177" s="31">
        <v>3300</v>
      </c>
      <c r="U177" s="16"/>
      <c r="V177" s="84">
        <v>7114.09</v>
      </c>
      <c r="W177" s="30"/>
      <c r="Z177" s="86"/>
    </row>
    <row r="178" spans="1:26" x14ac:dyDescent="0.3">
      <c r="A178" s="18"/>
      <c r="B178" s="18" t="s">
        <v>156</v>
      </c>
      <c r="C178" s="18"/>
      <c r="D178" s="27"/>
      <c r="E178" s="28"/>
      <c r="F178" s="28"/>
      <c r="G178" s="27"/>
      <c r="H178" s="27"/>
      <c r="I178" s="27"/>
      <c r="J178" s="28"/>
      <c r="K178" s="27"/>
      <c r="L178" s="28"/>
      <c r="M178" s="29"/>
      <c r="P178" s="32"/>
      <c r="Q178" s="30"/>
      <c r="R178" s="30"/>
      <c r="S178" s="30"/>
      <c r="T178" s="31"/>
      <c r="U178" s="16"/>
      <c r="V178" s="84"/>
      <c r="W178" s="30">
        <v>3300</v>
      </c>
      <c r="Y178" s="32">
        <v>3300</v>
      </c>
      <c r="Z178" s="86"/>
    </row>
    <row r="179" spans="1:26" x14ac:dyDescent="0.3">
      <c r="A179" s="18"/>
      <c r="B179" s="18" t="s">
        <v>157</v>
      </c>
      <c r="C179" s="18"/>
      <c r="D179" s="27"/>
      <c r="E179" s="28"/>
      <c r="F179" s="28"/>
      <c r="G179" s="27"/>
      <c r="H179" s="27"/>
      <c r="I179" s="27"/>
      <c r="J179" s="28"/>
      <c r="K179" s="27"/>
      <c r="L179" s="28"/>
      <c r="M179" s="29"/>
      <c r="P179" s="32"/>
      <c r="Q179" s="30"/>
      <c r="R179" s="30"/>
      <c r="S179" s="30"/>
      <c r="T179" s="31"/>
      <c r="U179" s="16"/>
      <c r="V179" s="84"/>
      <c r="W179" s="30">
        <v>1000</v>
      </c>
      <c r="Y179" s="32">
        <v>1000</v>
      </c>
      <c r="Z179" s="86"/>
    </row>
    <row r="180" spans="1:26" x14ac:dyDescent="0.3">
      <c r="A180" s="18"/>
      <c r="B180" s="18" t="s">
        <v>158</v>
      </c>
      <c r="C180" s="18"/>
      <c r="D180" s="27"/>
      <c r="E180" s="28"/>
      <c r="F180" s="28"/>
      <c r="G180" s="27"/>
      <c r="H180" s="27"/>
      <c r="I180" s="27"/>
      <c r="J180" s="28"/>
      <c r="K180" s="27"/>
      <c r="L180" s="28"/>
      <c r="M180" s="29"/>
      <c r="P180" s="32"/>
      <c r="Q180" s="30"/>
      <c r="R180" s="30"/>
      <c r="S180" s="30"/>
      <c r="T180" s="31"/>
      <c r="U180" s="16"/>
      <c r="V180" s="84"/>
      <c r="W180" s="30">
        <v>4000</v>
      </c>
      <c r="Z180" s="86"/>
    </row>
    <row r="181" spans="1:26" x14ac:dyDescent="0.3">
      <c r="A181" s="18" t="s">
        <v>106</v>
      </c>
      <c r="B181" s="18"/>
      <c r="C181" s="18"/>
      <c r="D181" s="27">
        <v>16590</v>
      </c>
      <c r="E181" s="28"/>
      <c r="F181" s="28"/>
      <c r="G181" s="27">
        <v>15800</v>
      </c>
      <c r="H181" s="27"/>
      <c r="I181" s="27">
        <v>22025</v>
      </c>
      <c r="J181" s="28"/>
      <c r="K181" s="27">
        <v>17500</v>
      </c>
      <c r="L181" s="28"/>
      <c r="M181" s="29">
        <f t="shared" si="3"/>
        <v>1.25857</v>
      </c>
      <c r="P181" s="32">
        <v>18800</v>
      </c>
      <c r="Q181" s="30">
        <v>19000</v>
      </c>
      <c r="R181" s="30"/>
      <c r="S181" s="30">
        <v>19700</v>
      </c>
      <c r="T181" s="31">
        <v>19000</v>
      </c>
      <c r="U181" s="16"/>
      <c r="V181" s="84">
        <v>21390</v>
      </c>
      <c r="W181" s="30">
        <v>23000</v>
      </c>
      <c r="Y181" s="32">
        <v>23000</v>
      </c>
      <c r="Z181" s="86"/>
    </row>
    <row r="182" spans="1:26" x14ac:dyDescent="0.3">
      <c r="A182" s="18" t="s">
        <v>107</v>
      </c>
      <c r="B182" s="18"/>
      <c r="C182" s="18"/>
      <c r="D182" s="27">
        <v>677.8</v>
      </c>
      <c r="E182" s="28"/>
      <c r="F182" s="28"/>
      <c r="G182" s="27">
        <v>300</v>
      </c>
      <c r="H182" s="27"/>
      <c r="I182" s="27">
        <v>545.48</v>
      </c>
      <c r="J182" s="28"/>
      <c r="K182" s="27">
        <v>500</v>
      </c>
      <c r="L182" s="28"/>
      <c r="M182" s="29">
        <f t="shared" si="3"/>
        <v>1.0909599999999999</v>
      </c>
      <c r="P182" s="32">
        <v>529</v>
      </c>
      <c r="Q182" s="30">
        <v>800</v>
      </c>
      <c r="R182" s="30"/>
      <c r="S182" s="30">
        <v>966.66</v>
      </c>
      <c r="T182" s="31">
        <v>800</v>
      </c>
      <c r="U182" s="16"/>
      <c r="V182" s="84">
        <v>1148.67</v>
      </c>
      <c r="W182" s="30">
        <v>800</v>
      </c>
      <c r="Y182" s="32">
        <v>800</v>
      </c>
      <c r="Z182" s="86"/>
    </row>
    <row r="183" spans="1:26" x14ac:dyDescent="0.3">
      <c r="A183" s="18" t="s">
        <v>159</v>
      </c>
      <c r="B183" s="18"/>
      <c r="C183" s="18"/>
      <c r="D183" s="27"/>
      <c r="E183" s="28"/>
      <c r="F183" s="28"/>
      <c r="G183" s="27"/>
      <c r="H183" s="27"/>
      <c r="I183" s="27"/>
      <c r="J183" s="28"/>
      <c r="K183" s="27"/>
      <c r="L183" s="28"/>
      <c r="M183" s="29"/>
      <c r="P183" s="32"/>
      <c r="Q183" s="30"/>
      <c r="R183" s="30"/>
      <c r="S183" s="30"/>
      <c r="T183" s="31"/>
      <c r="U183" s="16"/>
      <c r="V183" s="84"/>
      <c r="W183" s="30">
        <v>500</v>
      </c>
      <c r="Y183" s="32">
        <v>500</v>
      </c>
      <c r="Z183" s="86"/>
    </row>
    <row r="184" spans="1:26" ht="16.2" thickBot="1" x14ac:dyDescent="0.35">
      <c r="A184" s="18" t="s">
        <v>108</v>
      </c>
      <c r="B184" s="18"/>
      <c r="C184" s="18"/>
      <c r="D184" s="27">
        <v>10030.799999999999</v>
      </c>
      <c r="E184" s="28"/>
      <c r="F184" s="28"/>
      <c r="G184" s="27">
        <v>9000</v>
      </c>
      <c r="H184" s="27"/>
      <c r="I184" s="33">
        <v>9034</v>
      </c>
      <c r="J184" s="28"/>
      <c r="K184" s="33">
        <v>9000</v>
      </c>
      <c r="L184" s="28"/>
      <c r="M184" s="34">
        <f t="shared" si="3"/>
        <v>1.0037799999999999</v>
      </c>
      <c r="P184" s="32"/>
      <c r="Q184" s="30"/>
      <c r="R184" s="30"/>
      <c r="S184" s="30"/>
      <c r="T184" s="31"/>
      <c r="U184" s="16"/>
      <c r="V184" s="84"/>
      <c r="W184" s="30"/>
      <c r="Y184" s="32">
        <v>10000</v>
      </c>
      <c r="Z184" s="86"/>
    </row>
    <row r="185" spans="1:26" ht="16.2" thickBot="1" x14ac:dyDescent="0.35">
      <c r="A185" s="18" t="s">
        <v>109</v>
      </c>
      <c r="B185" s="18"/>
      <c r="C185" s="18"/>
      <c r="D185" s="33">
        <v>2350</v>
      </c>
      <c r="E185" s="28"/>
      <c r="F185" s="28"/>
      <c r="G185" s="33">
        <v>2000</v>
      </c>
      <c r="H185" s="27"/>
      <c r="I185" s="27"/>
      <c r="J185" s="28"/>
      <c r="K185" s="27"/>
      <c r="L185" s="28"/>
      <c r="M185" s="29"/>
      <c r="P185" s="37"/>
      <c r="Q185" s="38"/>
      <c r="R185" s="38"/>
      <c r="S185" s="38"/>
      <c r="T185" s="39"/>
      <c r="U185" s="16"/>
      <c r="V185" s="84"/>
      <c r="W185" s="38"/>
      <c r="Z185" s="86"/>
    </row>
    <row r="186" spans="1:26" ht="16.2" thickTop="1" x14ac:dyDescent="0.3">
      <c r="A186" s="18" t="s">
        <v>110</v>
      </c>
      <c r="B186" s="18"/>
      <c r="C186" s="18"/>
      <c r="D186" s="27">
        <f>ROUND(SUM(D175:D185),5)</f>
        <v>37424.83</v>
      </c>
      <c r="E186" s="28"/>
      <c r="F186" s="28"/>
      <c r="G186" s="27">
        <f>ROUND(SUM(G175:G185),5)</f>
        <v>33000</v>
      </c>
      <c r="H186" s="27"/>
      <c r="I186" s="27">
        <f>ROUND(SUM(I175:I184),5)</f>
        <v>38875.93</v>
      </c>
      <c r="J186" s="28"/>
      <c r="K186" s="27">
        <f>ROUND(SUM(K175:K184),5)</f>
        <v>34000</v>
      </c>
      <c r="L186" s="28"/>
      <c r="M186" s="29">
        <f t="shared" si="3"/>
        <v>1.14341</v>
      </c>
      <c r="P186" s="30">
        <f>+P184+P182+P181+P177+P176</f>
        <v>27003.119999999999</v>
      </c>
      <c r="Q186" s="30">
        <f>+Q184+Q182+Q181+Q177+Q176</f>
        <v>27400</v>
      </c>
      <c r="R186" s="30"/>
      <c r="S186" s="31">
        <f>+S184+S182+S181+S177+S176</f>
        <v>28187.65</v>
      </c>
      <c r="T186" s="31">
        <f>+T184+T182+T181+T177+T176</f>
        <v>27700</v>
      </c>
      <c r="U186" s="16"/>
      <c r="V186" s="70">
        <f>+V183+V182+V181+V177+V176</f>
        <v>34529.759999999995</v>
      </c>
      <c r="W186" s="31">
        <f>+W183+W182+W181+W180+W179+W178+W176</f>
        <v>37315</v>
      </c>
      <c r="Y186" s="70">
        <f>+Y184+Y183+Y182+Y181+Y180+Y179+Y178+Y176</f>
        <v>43608.678999999996</v>
      </c>
      <c r="Z186" s="86"/>
    </row>
    <row r="187" spans="1:26" x14ac:dyDescent="0.3">
      <c r="A187" s="18"/>
      <c r="B187" s="18"/>
      <c r="C187" s="18"/>
      <c r="D187" s="27"/>
      <c r="E187" s="28"/>
      <c r="F187" s="28"/>
      <c r="G187" s="27"/>
      <c r="H187" s="27"/>
      <c r="I187" s="27"/>
      <c r="J187" s="28"/>
      <c r="K187" s="27"/>
      <c r="L187" s="28"/>
      <c r="M187" s="29"/>
      <c r="P187" s="32"/>
      <c r="Q187" s="30"/>
      <c r="R187" s="30"/>
      <c r="S187" s="30"/>
      <c r="T187" s="31"/>
      <c r="U187" s="16"/>
      <c r="W187" s="30"/>
      <c r="Z187" s="86"/>
    </row>
    <row r="188" spans="1:26" x14ac:dyDescent="0.3">
      <c r="A188" s="18"/>
      <c r="B188" s="18"/>
      <c r="C188" s="18"/>
      <c r="D188" s="27"/>
      <c r="E188" s="28"/>
      <c r="F188" s="28"/>
      <c r="G188" s="27"/>
      <c r="H188" s="27"/>
      <c r="I188" s="27"/>
      <c r="J188" s="28"/>
      <c r="K188" s="27"/>
      <c r="L188" s="28"/>
      <c r="M188" s="29"/>
      <c r="P188" s="32"/>
      <c r="Q188" s="30"/>
      <c r="R188" s="30"/>
      <c r="S188" s="30"/>
      <c r="T188" s="31"/>
      <c r="U188" s="16"/>
      <c r="W188" s="30"/>
      <c r="Z188" s="86"/>
    </row>
    <row r="189" spans="1:26" x14ac:dyDescent="0.3">
      <c r="A189" s="18" t="s">
        <v>111</v>
      </c>
      <c r="B189" s="18"/>
      <c r="C189" s="18"/>
      <c r="D189" s="27"/>
      <c r="E189" s="28"/>
      <c r="F189" s="28"/>
      <c r="G189" s="27"/>
      <c r="H189" s="27"/>
      <c r="I189" s="27">
        <v>45.94</v>
      </c>
      <c r="J189" s="28"/>
      <c r="K189" s="27"/>
      <c r="L189" s="28"/>
      <c r="M189" s="29"/>
      <c r="P189" s="32"/>
      <c r="Q189" s="30"/>
      <c r="R189" s="30"/>
      <c r="S189" s="30"/>
      <c r="T189" s="31"/>
      <c r="U189" s="16"/>
      <c r="W189" s="30"/>
      <c r="Z189" s="86"/>
    </row>
    <row r="190" spans="1:26" x14ac:dyDescent="0.3">
      <c r="A190" s="18" t="s">
        <v>112</v>
      </c>
      <c r="B190" s="18"/>
      <c r="C190" s="18"/>
      <c r="D190" s="27"/>
      <c r="E190" s="28"/>
      <c r="F190" s="28"/>
      <c r="G190" s="27"/>
      <c r="H190" s="27"/>
      <c r="I190" s="27"/>
      <c r="J190" s="28"/>
      <c r="K190" s="27"/>
      <c r="L190" s="28"/>
      <c r="M190" s="29"/>
      <c r="P190" s="32"/>
      <c r="Q190" s="30"/>
      <c r="R190" s="30"/>
      <c r="S190" s="30"/>
      <c r="T190" s="31"/>
      <c r="U190" s="16"/>
      <c r="W190" s="30"/>
      <c r="Z190" s="86"/>
    </row>
    <row r="191" spans="1:26" x14ac:dyDescent="0.3">
      <c r="A191" s="18"/>
      <c r="B191" s="18" t="s">
        <v>113</v>
      </c>
      <c r="C191" s="18"/>
      <c r="D191" s="27">
        <v>44241</v>
      </c>
      <c r="E191" s="28"/>
      <c r="F191" s="28"/>
      <c r="G191" s="27">
        <v>43500</v>
      </c>
      <c r="H191" s="27"/>
      <c r="I191" s="27">
        <v>43200.03</v>
      </c>
      <c r="J191" s="28"/>
      <c r="K191" s="27">
        <v>45662</v>
      </c>
      <c r="L191" s="28"/>
      <c r="M191" s="29">
        <f t="shared" ref="M191:M199" si="4">ROUND(IF(K191=0, IF(I191=0, 0, 1), I191/K191),5)</f>
        <v>0.94608000000000003</v>
      </c>
      <c r="P191" s="32">
        <v>44149.74</v>
      </c>
      <c r="Q191" s="30">
        <v>45000</v>
      </c>
      <c r="R191" s="30"/>
      <c r="S191" s="30">
        <v>54432.2</v>
      </c>
      <c r="T191" s="31">
        <v>46800</v>
      </c>
      <c r="U191" s="16"/>
      <c r="V191" s="84">
        <v>60517.22</v>
      </c>
      <c r="W191" s="30">
        <v>55359</v>
      </c>
      <c r="Y191" s="32">
        <f>+V191*1.027</f>
        <v>62151.184939999999</v>
      </c>
      <c r="Z191" s="86"/>
    </row>
    <row r="192" spans="1:26" ht="16.2" thickBot="1" x14ac:dyDescent="0.35">
      <c r="A192" s="18"/>
      <c r="B192" s="18" t="s">
        <v>97</v>
      </c>
      <c r="C192" s="18"/>
      <c r="D192" s="33">
        <v>24135</v>
      </c>
      <c r="E192" s="28"/>
      <c r="F192" s="28"/>
      <c r="G192" s="33">
        <v>24120</v>
      </c>
      <c r="H192" s="27"/>
      <c r="I192" s="33">
        <v>21752.25</v>
      </c>
      <c r="J192" s="28"/>
      <c r="K192" s="33">
        <v>26030</v>
      </c>
      <c r="L192" s="28"/>
      <c r="M192" s="34">
        <f t="shared" si="4"/>
        <v>0.83565999999999996</v>
      </c>
      <c r="P192" s="37">
        <v>15281.02</v>
      </c>
      <c r="Q192" s="38">
        <f>1166*12</f>
        <v>13992</v>
      </c>
      <c r="R192" s="38"/>
      <c r="S192" s="38">
        <v>3317</v>
      </c>
      <c r="T192" s="39">
        <v>5000</v>
      </c>
      <c r="U192" s="16"/>
      <c r="V192" s="84">
        <v>1021.27</v>
      </c>
      <c r="W192" s="38">
        <v>1200</v>
      </c>
      <c r="Y192" s="32">
        <v>1200</v>
      </c>
      <c r="Z192" s="86"/>
    </row>
    <row r="193" spans="1:26" ht="16.2" thickTop="1" x14ac:dyDescent="0.3">
      <c r="A193" s="18" t="s">
        <v>114</v>
      </c>
      <c r="B193" s="18"/>
      <c r="C193" s="18"/>
      <c r="D193" s="27">
        <f>ROUND(SUM(D190:D192),5)</f>
        <v>68376</v>
      </c>
      <c r="E193" s="28"/>
      <c r="F193" s="28"/>
      <c r="G193" s="27">
        <f>ROUND(SUM(G190:G192),5)</f>
        <v>67620</v>
      </c>
      <c r="H193" s="27"/>
      <c r="I193" s="27">
        <f>ROUND(SUM(I190:I192),5)</f>
        <v>64952.28</v>
      </c>
      <c r="J193" s="28"/>
      <c r="K193" s="27">
        <f>ROUND(SUM(K190:K192),5)</f>
        <v>71692</v>
      </c>
      <c r="L193" s="28"/>
      <c r="M193" s="29">
        <f t="shared" si="4"/>
        <v>0.90598999999999996</v>
      </c>
      <c r="P193" s="30">
        <f>+P192+P191</f>
        <v>59430.759999999995</v>
      </c>
      <c r="Q193" s="30">
        <f>+Q192+Q191</f>
        <v>58992</v>
      </c>
      <c r="R193" s="30"/>
      <c r="S193" s="31">
        <f>+S191+S192</f>
        <v>57749.2</v>
      </c>
      <c r="T193" s="31">
        <f>+T192+T191</f>
        <v>51800</v>
      </c>
      <c r="U193" s="16"/>
      <c r="V193" s="70">
        <f>+V191+V192</f>
        <v>61538.49</v>
      </c>
      <c r="W193" s="31">
        <f>+W192+W191</f>
        <v>56559</v>
      </c>
      <c r="Y193" s="70">
        <f>+Y192+Y191</f>
        <v>63351.184939999999</v>
      </c>
      <c r="Z193" s="86"/>
    </row>
    <row r="194" spans="1:26" x14ac:dyDescent="0.3">
      <c r="A194" s="18"/>
      <c r="B194" s="18"/>
      <c r="C194" s="18"/>
      <c r="D194" s="27"/>
      <c r="E194" s="28"/>
      <c r="F194" s="28"/>
      <c r="G194" s="27">
        <v>200</v>
      </c>
      <c r="H194" s="27"/>
      <c r="I194" s="27"/>
      <c r="J194" s="28"/>
      <c r="K194" s="27"/>
      <c r="L194" s="28"/>
      <c r="M194" s="29"/>
      <c r="P194" s="32"/>
      <c r="Q194" s="30"/>
      <c r="R194" s="30"/>
      <c r="S194" s="30"/>
      <c r="T194" s="31"/>
      <c r="U194" s="16"/>
      <c r="W194" s="30"/>
      <c r="Z194" s="86"/>
    </row>
    <row r="195" spans="1:26" x14ac:dyDescent="0.3">
      <c r="A195" s="18" t="s">
        <v>115</v>
      </c>
      <c r="B195" s="18"/>
      <c r="C195" s="18"/>
      <c r="D195" s="27">
        <v>11042.83</v>
      </c>
      <c r="E195" s="28"/>
      <c r="F195" s="28"/>
      <c r="G195" s="27">
        <v>10500</v>
      </c>
      <c r="H195" s="27"/>
      <c r="I195" s="27">
        <v>12092.76</v>
      </c>
      <c r="J195" s="28"/>
      <c r="K195" s="27">
        <v>10200</v>
      </c>
      <c r="L195" s="28"/>
      <c r="M195" s="29">
        <f t="shared" si="4"/>
        <v>1.1855599999999999</v>
      </c>
      <c r="P195" s="32">
        <v>19886.75</v>
      </c>
      <c r="Q195" s="30">
        <v>12000</v>
      </c>
      <c r="R195" s="30"/>
      <c r="S195" s="30">
        <v>10637.01</v>
      </c>
      <c r="T195" s="31">
        <v>12000</v>
      </c>
      <c r="U195" s="16"/>
      <c r="V195" s="84">
        <v>13203.4</v>
      </c>
      <c r="W195" s="30">
        <v>12000</v>
      </c>
      <c r="Y195" s="32">
        <v>13000</v>
      </c>
      <c r="Z195" s="86"/>
    </row>
    <row r="196" spans="1:26" x14ac:dyDescent="0.3">
      <c r="A196" s="18" t="s">
        <v>116</v>
      </c>
      <c r="B196" s="18"/>
      <c r="C196" s="18"/>
      <c r="D196" s="27">
        <v>4565.1899999999996</v>
      </c>
      <c r="E196" s="28"/>
      <c r="F196" s="28"/>
      <c r="G196" s="27">
        <v>2600</v>
      </c>
      <c r="H196" s="27"/>
      <c r="I196" s="27">
        <v>3558.38</v>
      </c>
      <c r="J196" s="28"/>
      <c r="K196" s="27">
        <v>2500</v>
      </c>
      <c r="L196" s="28"/>
      <c r="M196" s="29">
        <f t="shared" si="4"/>
        <v>1.4233499999999999</v>
      </c>
      <c r="P196" s="32">
        <v>2732.08</v>
      </c>
      <c r="Q196" s="30">
        <v>3500</v>
      </c>
      <c r="R196" s="30"/>
      <c r="S196" s="30">
        <v>1185.7</v>
      </c>
      <c r="T196" s="31">
        <v>3000</v>
      </c>
      <c r="U196" s="16"/>
      <c r="V196" s="84">
        <v>2655.82</v>
      </c>
      <c r="W196" s="30">
        <v>2000</v>
      </c>
      <c r="Y196" s="32">
        <v>2600</v>
      </c>
      <c r="Z196" s="86"/>
    </row>
    <row r="197" spans="1:26" x14ac:dyDescent="0.3">
      <c r="A197" s="18" t="s">
        <v>117</v>
      </c>
      <c r="B197" s="18"/>
      <c r="C197" s="18"/>
      <c r="D197" s="27">
        <v>2379.34</v>
      </c>
      <c r="E197" s="28"/>
      <c r="F197" s="28"/>
      <c r="G197" s="27">
        <v>1900</v>
      </c>
      <c r="H197" s="27"/>
      <c r="I197" s="27">
        <v>925.48</v>
      </c>
      <c r="J197" s="28"/>
      <c r="K197" s="27">
        <v>1400</v>
      </c>
      <c r="L197" s="28"/>
      <c r="M197" s="29">
        <f t="shared" si="4"/>
        <v>0.66105999999999998</v>
      </c>
      <c r="P197" s="32">
        <v>1109.5</v>
      </c>
      <c r="Q197" s="30">
        <v>1000</v>
      </c>
      <c r="R197" s="30"/>
      <c r="S197" s="30">
        <v>1162.68</v>
      </c>
      <c r="T197" s="31">
        <v>1100</v>
      </c>
      <c r="U197" s="16"/>
      <c r="V197" s="84">
        <v>2023.43</v>
      </c>
      <c r="W197" s="30">
        <v>1100</v>
      </c>
      <c r="Y197" s="32">
        <v>2000</v>
      </c>
      <c r="Z197" s="86"/>
    </row>
    <row r="198" spans="1:26" ht="16.2" thickBot="1" x14ac:dyDescent="0.35">
      <c r="A198" s="18" t="s">
        <v>118</v>
      </c>
      <c r="B198" s="18"/>
      <c r="C198" s="18"/>
      <c r="D198" s="33">
        <v>4696.29</v>
      </c>
      <c r="E198" s="28"/>
      <c r="F198" s="28"/>
      <c r="G198" s="33">
        <v>4440</v>
      </c>
      <c r="H198" s="27"/>
      <c r="I198" s="33">
        <v>4769.42</v>
      </c>
      <c r="J198" s="28"/>
      <c r="K198" s="33">
        <v>6700</v>
      </c>
      <c r="L198" s="28"/>
      <c r="M198" s="34">
        <f t="shared" si="4"/>
        <v>0.71184999999999998</v>
      </c>
      <c r="P198" s="37">
        <v>4570.03</v>
      </c>
      <c r="Q198" s="38">
        <v>5000</v>
      </c>
      <c r="R198" s="38"/>
      <c r="S198" s="38">
        <v>4257.9799999999996</v>
      </c>
      <c r="T198" s="39">
        <v>5000</v>
      </c>
      <c r="U198" s="16"/>
      <c r="V198" s="85">
        <v>5328.69</v>
      </c>
      <c r="W198" s="38">
        <v>5000</v>
      </c>
      <c r="Y198" s="32">
        <v>5400</v>
      </c>
      <c r="Z198" s="86"/>
    </row>
    <row r="199" spans="1:26" ht="16.2" thickTop="1" x14ac:dyDescent="0.3">
      <c r="A199" s="31" t="s">
        <v>119</v>
      </c>
      <c r="B199" s="18"/>
      <c r="C199" s="18"/>
      <c r="D199" s="27">
        <f>ROUND(D187+SUM(D193:D198),5)</f>
        <v>91059.65</v>
      </c>
      <c r="E199" s="28"/>
      <c r="F199" s="28"/>
      <c r="G199" s="27">
        <f>ROUND(G187+SUM(G193:G198),5)</f>
        <v>87260</v>
      </c>
      <c r="H199" s="27"/>
      <c r="I199" s="27">
        <f>ROUND(SUM(I188:I189)+SUM(I193:I198),5)</f>
        <v>86344.26</v>
      </c>
      <c r="J199" s="28"/>
      <c r="K199" s="27">
        <f>ROUND(SUM(K188:K189)+SUM(K193:K198),5)</f>
        <v>92492</v>
      </c>
      <c r="L199" s="28"/>
      <c r="M199" s="29">
        <f t="shared" si="4"/>
        <v>0.93352999999999997</v>
      </c>
      <c r="P199" s="30">
        <f>+P198+P197+P196+P195+P194+P193</f>
        <v>87729.12</v>
      </c>
      <c r="Q199" s="30">
        <f>+Q198+Q197+Q196+Q195+Q194+Q193</f>
        <v>80492</v>
      </c>
      <c r="R199" s="30"/>
      <c r="S199" s="31">
        <f>+S198+S197+S196+S195+S194+S193</f>
        <v>74992.569999999992</v>
      </c>
      <c r="T199" s="31">
        <f>+T198+T197+T196+T195+T194+T193</f>
        <v>72900</v>
      </c>
      <c r="U199" s="16"/>
      <c r="V199" s="65">
        <f>+V198+V197+V196+V195+V194+V193</f>
        <v>84749.83</v>
      </c>
      <c r="W199" s="31">
        <f>+W198+W197+W196+W195+W194+W193</f>
        <v>76659</v>
      </c>
      <c r="Y199" s="70">
        <f>+Y198+Y197+Y196+Y195+Y194+Y193</f>
        <v>86351.184940000006</v>
      </c>
      <c r="Z199" s="86"/>
    </row>
    <row r="200" spans="1:26" x14ac:dyDescent="0.3">
      <c r="A200" s="18"/>
      <c r="B200" s="18"/>
      <c r="C200" s="18"/>
      <c r="D200" s="27"/>
      <c r="E200" s="28"/>
      <c r="F200" s="28"/>
      <c r="G200" s="27"/>
      <c r="H200" s="27"/>
      <c r="I200" s="27"/>
      <c r="J200" s="28"/>
      <c r="K200" s="27"/>
      <c r="L200" s="28"/>
      <c r="M200" s="29"/>
      <c r="P200" s="32"/>
      <c r="Q200" s="30"/>
      <c r="R200" s="30"/>
      <c r="S200" s="30"/>
      <c r="T200" s="31"/>
      <c r="U200" s="16"/>
      <c r="Z200" s="86"/>
    </row>
    <row r="201" spans="1:26" x14ac:dyDescent="0.3">
      <c r="A201" s="18"/>
      <c r="B201" s="18"/>
      <c r="C201" s="18"/>
      <c r="D201" s="27"/>
      <c r="E201" s="28"/>
      <c r="F201" s="28"/>
      <c r="G201" s="27"/>
      <c r="H201" s="27"/>
      <c r="I201" s="27"/>
      <c r="J201" s="28"/>
      <c r="K201" s="27"/>
      <c r="L201" s="28"/>
      <c r="M201" s="29"/>
      <c r="P201" s="32"/>
      <c r="Q201" s="30"/>
      <c r="R201" s="30"/>
      <c r="S201" s="30"/>
      <c r="T201" s="31"/>
      <c r="U201" s="16"/>
      <c r="W201" s="30"/>
      <c r="Z201" s="86"/>
    </row>
    <row r="202" spans="1:26" x14ac:dyDescent="0.3">
      <c r="A202" s="18" t="s">
        <v>120</v>
      </c>
      <c r="B202" s="18"/>
      <c r="C202" s="18"/>
      <c r="D202" s="27">
        <v>2355.14</v>
      </c>
      <c r="E202" s="28"/>
      <c r="F202" s="28"/>
      <c r="G202" s="27">
        <v>2500</v>
      </c>
      <c r="H202" s="27"/>
      <c r="I202" s="27">
        <v>4185.7</v>
      </c>
      <c r="J202" s="28"/>
      <c r="K202" s="27">
        <v>3500</v>
      </c>
      <c r="L202" s="28"/>
      <c r="M202" s="29">
        <f>ROUND(IF(K202=0, IF(I202=0, 0, 1), I202/K202),5)</f>
        <v>1.19591</v>
      </c>
      <c r="P202" s="32">
        <v>3632.31</v>
      </c>
      <c r="Q202" s="30">
        <v>4000</v>
      </c>
      <c r="R202" s="30"/>
      <c r="S202" s="30">
        <v>6074.46</v>
      </c>
      <c r="T202" s="31">
        <v>4000</v>
      </c>
      <c r="U202" s="16"/>
      <c r="V202" s="84">
        <v>5268.64</v>
      </c>
      <c r="W202" s="30">
        <v>4000</v>
      </c>
      <c r="Y202" s="32">
        <v>5000</v>
      </c>
      <c r="Z202" s="86"/>
    </row>
    <row r="203" spans="1:26" x14ac:dyDescent="0.3">
      <c r="A203" s="18" t="s">
        <v>121</v>
      </c>
      <c r="B203" s="18"/>
      <c r="C203" s="18"/>
      <c r="D203" s="27">
        <v>23255.56</v>
      </c>
      <c r="E203" s="28"/>
      <c r="F203" s="28"/>
      <c r="G203" s="27">
        <v>18000</v>
      </c>
      <c r="H203" s="27"/>
      <c r="I203" s="27"/>
      <c r="J203" s="28"/>
      <c r="K203" s="27"/>
      <c r="L203" s="28"/>
      <c r="M203" s="29"/>
      <c r="P203" s="32"/>
      <c r="Q203" s="30"/>
      <c r="R203" s="30"/>
      <c r="S203" s="30"/>
      <c r="T203" s="31"/>
      <c r="U203" s="16"/>
      <c r="V203" s="84"/>
      <c r="W203" s="30"/>
      <c r="Z203" s="86"/>
    </row>
    <row r="204" spans="1:26" x14ac:dyDescent="0.3">
      <c r="A204" s="18"/>
      <c r="B204" s="18" t="s">
        <v>111</v>
      </c>
      <c r="C204" s="18"/>
      <c r="D204" s="27"/>
      <c r="E204" s="28"/>
      <c r="F204" s="28"/>
      <c r="G204" s="27"/>
      <c r="H204" s="27"/>
      <c r="I204" s="27">
        <v>1798.64</v>
      </c>
      <c r="J204" s="28"/>
      <c r="K204" s="27"/>
      <c r="L204" s="28"/>
      <c r="M204" s="29"/>
      <c r="P204" s="32">
        <v>8091.24</v>
      </c>
      <c r="Q204" s="30">
        <v>2000</v>
      </c>
      <c r="R204" s="30"/>
      <c r="S204" s="30">
        <v>2499</v>
      </c>
      <c r="T204" s="31">
        <v>8100</v>
      </c>
      <c r="U204" s="16"/>
      <c r="V204" s="84">
        <v>11320.27</v>
      </c>
      <c r="W204" s="30">
        <v>2500</v>
      </c>
      <c r="Y204" s="32">
        <v>11400</v>
      </c>
      <c r="Z204" s="86"/>
    </row>
    <row r="205" spans="1:26" x14ac:dyDescent="0.3">
      <c r="A205" s="18"/>
      <c r="B205" s="18" t="s">
        <v>122</v>
      </c>
      <c r="C205" s="18"/>
      <c r="D205" s="27"/>
      <c r="E205" s="28"/>
      <c r="F205" s="28"/>
      <c r="G205" s="27"/>
      <c r="H205" s="27"/>
      <c r="I205" s="27">
        <v>3750</v>
      </c>
      <c r="J205" s="28"/>
      <c r="K205" s="27"/>
      <c r="L205" s="28"/>
      <c r="M205" s="29"/>
      <c r="P205" s="32">
        <f>5273.12+295</f>
        <v>5568.12</v>
      </c>
      <c r="Q205" s="30">
        <v>3800</v>
      </c>
      <c r="R205" s="30"/>
      <c r="S205" s="30">
        <f>2408.5+590</f>
        <v>2998.5</v>
      </c>
      <c r="T205" s="31">
        <v>5300</v>
      </c>
      <c r="U205" s="16"/>
      <c r="V205" s="84">
        <v>1710</v>
      </c>
      <c r="W205" s="30">
        <v>2500</v>
      </c>
      <c r="Y205" s="32">
        <v>2000</v>
      </c>
      <c r="Z205" s="86"/>
    </row>
    <row r="206" spans="1:26" x14ac:dyDescent="0.3">
      <c r="A206" s="18"/>
      <c r="B206" s="18" t="s">
        <v>123</v>
      </c>
      <c r="C206" s="18"/>
      <c r="D206" s="27"/>
      <c r="E206" s="28"/>
      <c r="F206" s="28"/>
      <c r="G206" s="27"/>
      <c r="H206" s="27"/>
      <c r="I206" s="27">
        <v>10583</v>
      </c>
      <c r="J206" s="28"/>
      <c r="K206" s="27"/>
      <c r="L206" s="28"/>
      <c r="M206" s="29"/>
      <c r="P206" s="32">
        <v>12198</v>
      </c>
      <c r="Q206" s="30">
        <v>11000</v>
      </c>
      <c r="R206" s="30"/>
      <c r="S206" s="30">
        <v>12816</v>
      </c>
      <c r="T206" s="31">
        <v>12000</v>
      </c>
      <c r="U206" s="16"/>
      <c r="V206" s="84">
        <v>13220.5</v>
      </c>
      <c r="W206" s="30">
        <v>13000</v>
      </c>
      <c r="Y206" s="32">
        <v>13000</v>
      </c>
      <c r="Z206" s="86"/>
    </row>
    <row r="207" spans="1:26" x14ac:dyDescent="0.3">
      <c r="A207" s="18"/>
      <c r="B207" s="18" t="s">
        <v>124</v>
      </c>
      <c r="C207" s="18"/>
      <c r="D207" s="27"/>
      <c r="E207" s="28"/>
      <c r="F207" s="28"/>
      <c r="G207" s="27"/>
      <c r="H207" s="27"/>
      <c r="I207" s="27">
        <v>3530</v>
      </c>
      <c r="J207" s="28"/>
      <c r="K207" s="27"/>
      <c r="L207" s="28"/>
      <c r="M207" s="29"/>
      <c r="P207" s="32">
        <v>2724</v>
      </c>
      <c r="Q207" s="30">
        <v>3500</v>
      </c>
      <c r="R207" s="30"/>
      <c r="S207" s="30">
        <v>1852</v>
      </c>
      <c r="T207" s="31">
        <v>2800</v>
      </c>
      <c r="U207" s="16"/>
      <c r="V207" s="84">
        <v>488</v>
      </c>
      <c r="W207" s="30">
        <v>2500</v>
      </c>
      <c r="Z207" s="86"/>
    </row>
    <row r="208" spans="1:26" x14ac:dyDescent="0.3">
      <c r="A208" s="18"/>
      <c r="B208" s="18" t="s">
        <v>125</v>
      </c>
      <c r="C208" s="18"/>
      <c r="D208" s="27"/>
      <c r="E208" s="28"/>
      <c r="F208" s="28"/>
      <c r="G208" s="27"/>
      <c r="H208" s="27"/>
      <c r="I208" s="27">
        <v>11174.5</v>
      </c>
      <c r="J208" s="28"/>
      <c r="K208" s="27"/>
      <c r="L208" s="28"/>
      <c r="M208" s="29"/>
      <c r="P208" s="32">
        <v>5760</v>
      </c>
      <c r="Q208" s="30">
        <v>11000</v>
      </c>
      <c r="R208" s="30"/>
      <c r="S208" s="30">
        <v>2422</v>
      </c>
      <c r="T208" s="31">
        <v>5000</v>
      </c>
      <c r="U208" s="16"/>
      <c r="V208" s="84">
        <v>10875.75</v>
      </c>
      <c r="W208" s="30">
        <v>2500</v>
      </c>
      <c r="Y208" s="32">
        <v>5000</v>
      </c>
      <c r="Z208" s="86"/>
    </row>
    <row r="209" spans="1:26" ht="16.2" thickBot="1" x14ac:dyDescent="0.35">
      <c r="A209" s="18"/>
      <c r="B209" s="18" t="s">
        <v>126</v>
      </c>
      <c r="C209" s="18"/>
      <c r="D209" s="27"/>
      <c r="E209" s="28"/>
      <c r="F209" s="28"/>
      <c r="G209" s="27"/>
      <c r="H209" s="27"/>
      <c r="I209" s="33"/>
      <c r="J209" s="28"/>
      <c r="K209" s="33">
        <v>20000</v>
      </c>
      <c r="L209" s="28"/>
      <c r="M209" s="34"/>
      <c r="P209" s="37">
        <v>1000</v>
      </c>
      <c r="Q209" s="38"/>
      <c r="R209" s="38"/>
      <c r="S209" s="38"/>
      <c r="T209" s="39">
        <v>1000</v>
      </c>
      <c r="U209" s="16"/>
      <c r="V209" s="84">
        <v>705</v>
      </c>
      <c r="W209" s="38">
        <v>1000</v>
      </c>
      <c r="Y209" s="32">
        <v>1000</v>
      </c>
      <c r="Z209" s="86"/>
    </row>
    <row r="210" spans="1:26" ht="16.2" thickTop="1" x14ac:dyDescent="0.3">
      <c r="A210" s="18" t="s">
        <v>127</v>
      </c>
      <c r="B210" s="18"/>
      <c r="C210" s="18"/>
      <c r="D210" s="27"/>
      <c r="E210" s="28"/>
      <c r="F210" s="28"/>
      <c r="G210" s="27"/>
      <c r="H210" s="27"/>
      <c r="I210" s="27">
        <f>ROUND(SUM(I203:I209),5)</f>
        <v>30836.14</v>
      </c>
      <c r="J210" s="28"/>
      <c r="K210" s="27">
        <f>ROUND(SUM(K203:K209),5)</f>
        <v>20000</v>
      </c>
      <c r="L210" s="28"/>
      <c r="M210" s="29">
        <f>ROUND(IF(K210=0, IF(I210=0, 0, 1), I210/K210),5)</f>
        <v>1.5418099999999999</v>
      </c>
      <c r="P210" s="30">
        <f>+P209+P208+P207+P206+P205+P204</f>
        <v>35341.360000000001</v>
      </c>
      <c r="Q210" s="30">
        <f>+Q209+Q208+Q207+Q206+Q205+Q204</f>
        <v>31300</v>
      </c>
      <c r="R210" s="30"/>
      <c r="S210" s="31">
        <f>+S209+S208+S207+S206+S205+S204</f>
        <v>22587.5</v>
      </c>
      <c r="T210" s="31">
        <f>+T209+T208+T207+T206+T205+T204</f>
        <v>34200</v>
      </c>
      <c r="U210" s="16"/>
      <c r="V210" s="70">
        <f>+V209+V208+V207+V206+V205+V204</f>
        <v>38319.520000000004</v>
      </c>
      <c r="W210" s="31">
        <f>+W209+W208+W207+W206+W205+W204</f>
        <v>24000</v>
      </c>
      <c r="Y210" s="70">
        <f>+Y209+Y208+Y207+Y206+Y205+Y204</f>
        <v>32400</v>
      </c>
      <c r="Z210" s="86"/>
    </row>
    <row r="211" spans="1:26" x14ac:dyDescent="0.3">
      <c r="A211" s="18" t="s">
        <v>128</v>
      </c>
      <c r="B211" s="18"/>
      <c r="C211" s="18"/>
      <c r="D211" s="27">
        <v>5858.93</v>
      </c>
      <c r="E211" s="28"/>
      <c r="F211" s="28"/>
      <c r="G211" s="27">
        <v>5900</v>
      </c>
      <c r="H211" s="27"/>
      <c r="I211" s="27">
        <v>6661.91</v>
      </c>
      <c r="J211" s="28"/>
      <c r="K211" s="27">
        <v>5000</v>
      </c>
      <c r="L211" s="28"/>
      <c r="M211" s="29">
        <f>ROUND(IF(K211=0, IF(I211=0, 0, 1), I211/K211),5)</f>
        <v>1.3323799999999999</v>
      </c>
      <c r="P211" s="32">
        <v>7143.12</v>
      </c>
      <c r="Q211" s="30">
        <v>7000</v>
      </c>
      <c r="R211" s="30"/>
      <c r="S211" s="30">
        <v>7489.7</v>
      </c>
      <c r="T211" s="31">
        <v>7000</v>
      </c>
      <c r="U211" s="16"/>
      <c r="V211" s="84">
        <v>7516.63</v>
      </c>
      <c r="W211" s="30">
        <v>8000</v>
      </c>
      <c r="Y211" s="32">
        <v>8000</v>
      </c>
      <c r="Z211" s="86"/>
    </row>
    <row r="212" spans="1:26" x14ac:dyDescent="0.3">
      <c r="A212" s="18" t="s">
        <v>129</v>
      </c>
      <c r="B212" s="18"/>
      <c r="C212" s="18"/>
      <c r="D212" s="27">
        <v>9070.65</v>
      </c>
      <c r="E212" s="28"/>
      <c r="F212" s="28"/>
      <c r="G212" s="27">
        <v>10000</v>
      </c>
      <c r="H212" s="27"/>
      <c r="I212" s="27">
        <v>10140.35</v>
      </c>
      <c r="J212" s="28"/>
      <c r="K212" s="27">
        <v>7000</v>
      </c>
      <c r="L212" s="28"/>
      <c r="M212" s="29">
        <f>ROUND(IF(K212=0, IF(I212=0, 0, 1), I212/K212),5)</f>
        <v>1.44862</v>
      </c>
      <c r="P212" s="32">
        <v>9334.43</v>
      </c>
      <c r="Q212" s="30">
        <v>10000</v>
      </c>
      <c r="R212" s="30"/>
      <c r="S212" s="30">
        <v>10842.18</v>
      </c>
      <c r="T212" s="31">
        <v>10000</v>
      </c>
      <c r="U212" s="16"/>
      <c r="V212" s="84">
        <v>12396.99</v>
      </c>
      <c r="W212" s="30">
        <v>11500</v>
      </c>
      <c r="Y212" s="32">
        <v>12500</v>
      </c>
      <c r="Z212" s="86"/>
    </row>
    <row r="213" spans="1:26" x14ac:dyDescent="0.3">
      <c r="A213" s="18" t="s">
        <v>130</v>
      </c>
      <c r="B213" s="18"/>
      <c r="C213" s="18"/>
      <c r="D213" s="27"/>
      <c r="E213" s="28"/>
      <c r="F213" s="28"/>
      <c r="G213" s="27"/>
      <c r="H213" s="27"/>
      <c r="I213" s="27"/>
      <c r="J213" s="28"/>
      <c r="K213" s="27"/>
      <c r="L213" s="28"/>
      <c r="M213" s="29"/>
      <c r="P213" s="32"/>
      <c r="Q213" s="30"/>
      <c r="R213" s="30"/>
      <c r="S213" s="30"/>
      <c r="T213" s="31"/>
      <c r="U213" s="16"/>
      <c r="W213" s="30"/>
      <c r="Z213" s="86"/>
    </row>
    <row r="214" spans="1:26" x14ac:dyDescent="0.3">
      <c r="A214" s="18"/>
      <c r="B214" s="18" t="s">
        <v>131</v>
      </c>
      <c r="C214" s="18"/>
      <c r="D214" s="27"/>
      <c r="E214" s="28"/>
      <c r="F214" s="28"/>
      <c r="G214" s="27"/>
      <c r="H214" s="27"/>
      <c r="I214" s="27">
        <v>200</v>
      </c>
      <c r="J214" s="28"/>
      <c r="K214" s="27"/>
      <c r="L214" s="28"/>
      <c r="M214" s="29"/>
      <c r="P214" s="32"/>
      <c r="Q214" s="30">
        <v>200</v>
      </c>
      <c r="R214" s="30"/>
      <c r="S214" s="30">
        <v>105</v>
      </c>
      <c r="T214" s="31">
        <v>200</v>
      </c>
      <c r="U214" s="16"/>
      <c r="V214" s="84">
        <v>906.88</v>
      </c>
      <c r="W214" s="30">
        <v>200</v>
      </c>
      <c r="Y214" s="32">
        <v>800</v>
      </c>
      <c r="Z214" s="86"/>
    </row>
    <row r="215" spans="1:26" x14ac:dyDescent="0.3">
      <c r="A215" s="18"/>
      <c r="B215" s="18" t="s">
        <v>132</v>
      </c>
      <c r="C215" s="18"/>
      <c r="D215" s="27">
        <v>4268.46</v>
      </c>
      <c r="E215" s="28"/>
      <c r="F215" s="28"/>
      <c r="G215" s="27">
        <v>6000</v>
      </c>
      <c r="H215" s="27"/>
      <c r="I215" s="27">
        <v>3311.79</v>
      </c>
      <c r="J215" s="28"/>
      <c r="K215" s="27">
        <v>8000</v>
      </c>
      <c r="L215" s="28"/>
      <c r="M215" s="29">
        <f t="shared" ref="M215:M221" si="5">ROUND(IF(K215=0, IF(I215=0, 0, 1), I215/K215),5)</f>
        <v>0.41397</v>
      </c>
      <c r="P215" s="32">
        <v>1159</v>
      </c>
      <c r="Q215" s="30">
        <v>4000</v>
      </c>
      <c r="R215" s="30"/>
      <c r="S215" s="30">
        <v>105</v>
      </c>
      <c r="T215" s="31">
        <v>2000</v>
      </c>
      <c r="U215" s="16"/>
      <c r="V215" s="84">
        <v>2760</v>
      </c>
      <c r="W215" s="30">
        <v>2000</v>
      </c>
      <c r="Y215" s="32">
        <v>2700</v>
      </c>
      <c r="Z215" s="86"/>
    </row>
    <row r="216" spans="1:26" ht="16.2" thickBot="1" x14ac:dyDescent="0.35">
      <c r="A216" s="18"/>
      <c r="B216" s="18" t="s">
        <v>133</v>
      </c>
      <c r="C216" s="18"/>
      <c r="D216" s="33">
        <v>9850</v>
      </c>
      <c r="E216" s="28"/>
      <c r="F216" s="28"/>
      <c r="G216" s="33">
        <v>12000</v>
      </c>
      <c r="H216" s="27"/>
      <c r="I216" s="33">
        <v>3955.25</v>
      </c>
      <c r="J216" s="28"/>
      <c r="K216" s="33">
        <v>10000</v>
      </c>
      <c r="L216" s="28"/>
      <c r="M216" s="34">
        <f t="shared" si="5"/>
        <v>0.39552999999999999</v>
      </c>
      <c r="P216" s="37">
        <v>2965</v>
      </c>
      <c r="Q216" s="38">
        <v>5000</v>
      </c>
      <c r="R216" s="38"/>
      <c r="S216" s="38">
        <v>1125</v>
      </c>
      <c r="T216" s="39">
        <v>5000</v>
      </c>
      <c r="U216" s="16"/>
      <c r="V216" s="84">
        <v>5112.5</v>
      </c>
      <c r="W216" s="38">
        <v>2500</v>
      </c>
      <c r="Y216" s="32">
        <v>5100</v>
      </c>
      <c r="Z216" s="86"/>
    </row>
    <row r="217" spans="1:26" ht="16.2" thickTop="1" x14ac:dyDescent="0.3">
      <c r="A217" s="18" t="s">
        <v>134</v>
      </c>
      <c r="B217" s="18"/>
      <c r="C217" s="18"/>
      <c r="D217" s="27">
        <f>ROUND(SUM(D214:D216),5)</f>
        <v>14118.46</v>
      </c>
      <c r="E217" s="28"/>
      <c r="F217" s="28"/>
      <c r="G217" s="27">
        <f>ROUND(SUM(G214:G216),5)</f>
        <v>18000</v>
      </c>
      <c r="H217" s="27"/>
      <c r="I217" s="27">
        <f>ROUND(SUM(I213:I216),5)</f>
        <v>7467.04</v>
      </c>
      <c r="J217" s="28"/>
      <c r="K217" s="27">
        <f>ROUND(SUM(K213:K216),5)</f>
        <v>18000</v>
      </c>
      <c r="L217" s="28"/>
      <c r="M217" s="29">
        <f t="shared" si="5"/>
        <v>0.41483999999999999</v>
      </c>
      <c r="P217" s="30">
        <f>+P216+P215+P214</f>
        <v>4124</v>
      </c>
      <c r="Q217" s="30">
        <f>+Q216+Q215+Q214</f>
        <v>9200</v>
      </c>
      <c r="R217" s="30"/>
      <c r="S217" s="31">
        <f>+S216+S215+S214</f>
        <v>1335</v>
      </c>
      <c r="T217" s="31">
        <f>+T216+T215+T214</f>
        <v>7200</v>
      </c>
      <c r="U217" s="16"/>
      <c r="V217" s="70">
        <f>+V216+V215+V214</f>
        <v>8779.3799999999992</v>
      </c>
      <c r="W217" s="31">
        <f>+W216+W215+W214</f>
        <v>4700</v>
      </c>
      <c r="Y217" s="70">
        <f>+Y216+Y215+Y214</f>
        <v>8600</v>
      </c>
      <c r="Z217" s="86"/>
    </row>
    <row r="218" spans="1:26" x14ac:dyDescent="0.3">
      <c r="A218" s="18" t="s">
        <v>135</v>
      </c>
      <c r="B218" s="18"/>
      <c r="C218" s="18"/>
      <c r="D218" s="27">
        <v>4000</v>
      </c>
      <c r="E218" s="28"/>
      <c r="F218" s="28"/>
      <c r="G218" s="27">
        <v>5000</v>
      </c>
      <c r="H218" s="27"/>
      <c r="I218" s="27">
        <v>4495</v>
      </c>
      <c r="J218" s="28"/>
      <c r="K218" s="27">
        <v>10000</v>
      </c>
      <c r="L218" s="28"/>
      <c r="M218" s="29">
        <f t="shared" si="5"/>
        <v>0.44950000000000001</v>
      </c>
      <c r="P218" s="32"/>
      <c r="Q218" s="30">
        <v>5000</v>
      </c>
      <c r="R218" s="30"/>
      <c r="S218" s="30">
        <v>2000.32</v>
      </c>
      <c r="T218" s="31">
        <v>2500</v>
      </c>
      <c r="U218" s="16"/>
      <c r="V218" s="84"/>
      <c r="W218" s="30">
        <v>2500</v>
      </c>
      <c r="Y218" s="32">
        <v>2500</v>
      </c>
      <c r="Z218" s="86"/>
    </row>
    <row r="219" spans="1:26" x14ac:dyDescent="0.3">
      <c r="A219" s="18" t="s">
        <v>136</v>
      </c>
      <c r="B219" s="18"/>
      <c r="C219" s="18"/>
      <c r="D219" s="27">
        <v>4115.6099999999997</v>
      </c>
      <c r="E219" s="28"/>
      <c r="F219" s="28"/>
      <c r="G219" s="27">
        <v>5000</v>
      </c>
      <c r="H219" s="27"/>
      <c r="I219" s="27">
        <v>7267.94</v>
      </c>
      <c r="J219" s="28"/>
      <c r="K219" s="27">
        <v>5000</v>
      </c>
      <c r="L219" s="28"/>
      <c r="M219" s="29">
        <f t="shared" si="5"/>
        <v>1.4535899999999999</v>
      </c>
      <c r="P219" s="32">
        <v>2571.5</v>
      </c>
      <c r="Q219" s="30">
        <v>5000</v>
      </c>
      <c r="R219" s="30"/>
      <c r="S219" s="30"/>
      <c r="T219" s="31">
        <v>2500</v>
      </c>
      <c r="U219" s="16"/>
      <c r="V219" s="84">
        <v>4748.74</v>
      </c>
      <c r="W219" s="30">
        <v>2500</v>
      </c>
      <c r="Y219" s="32">
        <v>2500</v>
      </c>
      <c r="Z219" s="86"/>
    </row>
    <row r="220" spans="1:26" x14ac:dyDescent="0.3">
      <c r="A220" s="18" t="s">
        <v>137</v>
      </c>
      <c r="B220" s="18"/>
      <c r="C220" s="18"/>
      <c r="D220" s="27">
        <v>2315.5300000000002</v>
      </c>
      <c r="E220" s="28"/>
      <c r="F220" s="28"/>
      <c r="G220" s="27">
        <v>2500</v>
      </c>
      <c r="H220" s="27"/>
      <c r="I220" s="27">
        <v>11680.13</v>
      </c>
      <c r="J220" s="28"/>
      <c r="K220" s="27">
        <v>2750</v>
      </c>
      <c r="L220" s="28"/>
      <c r="M220" s="29">
        <f t="shared" si="5"/>
        <v>4.2473200000000002</v>
      </c>
      <c r="P220" s="32">
        <f>390+4412.28+567+3885.3+175.5+112.5+908.19</f>
        <v>10450.77</v>
      </c>
      <c r="Q220" s="30">
        <v>7500</v>
      </c>
      <c r="R220" s="30"/>
      <c r="S220" s="30">
        <v>13240.94</v>
      </c>
      <c r="T220" s="31">
        <v>10000</v>
      </c>
      <c r="U220" s="16"/>
      <c r="V220" s="84">
        <f>81.6+11265.46+163.2+290.7+2225.98</f>
        <v>14026.94</v>
      </c>
      <c r="W220" s="30">
        <v>12000</v>
      </c>
      <c r="Y220" s="32">
        <v>14000</v>
      </c>
      <c r="Z220" s="86"/>
    </row>
    <row r="221" spans="1:26" x14ac:dyDescent="0.3">
      <c r="A221" s="18" t="s">
        <v>138</v>
      </c>
      <c r="B221" s="18"/>
      <c r="C221" s="18"/>
      <c r="D221" s="27">
        <v>1854.4</v>
      </c>
      <c r="E221" s="28"/>
      <c r="F221" s="28"/>
      <c r="G221" s="27">
        <v>1650</v>
      </c>
      <c r="H221" s="27"/>
      <c r="I221" s="27">
        <v>1460.5</v>
      </c>
      <c r="J221" s="28"/>
      <c r="K221" s="27">
        <v>2000</v>
      </c>
      <c r="L221" s="28"/>
      <c r="M221" s="29">
        <f t="shared" si="5"/>
        <v>0.73024999999999995</v>
      </c>
      <c r="P221" s="32">
        <v>1681.8</v>
      </c>
      <c r="Q221" s="30"/>
      <c r="R221" s="30"/>
      <c r="S221" s="30">
        <v>1993.8</v>
      </c>
      <c r="T221" s="31">
        <v>1700</v>
      </c>
      <c r="U221" s="16"/>
      <c r="V221" s="84">
        <v>1734.88</v>
      </c>
      <c r="W221" s="30">
        <v>2000</v>
      </c>
      <c r="Y221" s="32">
        <v>2000</v>
      </c>
      <c r="Z221" s="86"/>
    </row>
    <row r="222" spans="1:26" ht="16.2" thickBot="1" x14ac:dyDescent="0.35">
      <c r="A222" s="18" t="s">
        <v>139</v>
      </c>
      <c r="B222" s="18"/>
      <c r="C222" s="18"/>
      <c r="D222" s="33">
        <v>1650</v>
      </c>
      <c r="E222" s="28"/>
      <c r="F222" s="28"/>
      <c r="G222" s="33">
        <v>2800</v>
      </c>
      <c r="H222" s="27"/>
      <c r="I222" s="33"/>
      <c r="J222" s="28"/>
      <c r="K222" s="33">
        <v>800</v>
      </c>
      <c r="L222" s="28"/>
      <c r="M222" s="34"/>
      <c r="P222" s="37"/>
      <c r="Q222" s="38"/>
      <c r="R222" s="38"/>
      <c r="S222" s="38"/>
      <c r="T222" s="39"/>
      <c r="U222" s="16"/>
      <c r="V222" s="84"/>
      <c r="W222" s="38"/>
      <c r="Z222" s="86"/>
    </row>
    <row r="223" spans="1:26" ht="16.2" thickTop="1" x14ac:dyDescent="0.3">
      <c r="A223" s="18" t="s">
        <v>140</v>
      </c>
      <c r="B223" s="18"/>
      <c r="C223" s="18"/>
      <c r="D223" s="27">
        <f>ROUND(SUM(D200:D212)+SUM(D217:D222),5)</f>
        <v>68594.28</v>
      </c>
      <c r="E223" s="28"/>
      <c r="F223" s="28"/>
      <c r="G223" s="27">
        <f>ROUND(SUM(G200:G212)+SUM(G217:G222),5)</f>
        <v>71350</v>
      </c>
      <c r="H223" s="27"/>
      <c r="I223" s="27">
        <f>ROUND(SUM(I201:I202)+SUM(I210:I212)+SUM(I217:I222),5)</f>
        <v>84194.71</v>
      </c>
      <c r="J223" s="28"/>
      <c r="K223" s="27">
        <f>ROUND(SUM(K201:K202)+SUM(K210:K212)+SUM(K217:K222),5)</f>
        <v>74050</v>
      </c>
      <c r="L223" s="28"/>
      <c r="M223" s="29">
        <f>ROUND(IF(K223=0, IF(I223=0, 0, 1), I223/K223),5)</f>
        <v>1.137</v>
      </c>
      <c r="P223" s="30">
        <f>+P222+P221+P220+P219+P218+P217+P212+P211+P210+P202</f>
        <v>74279.290000000008</v>
      </c>
      <c r="Q223" s="30">
        <f>+Q222+Q221+Q220+Q219+Q218+Q217+Q212+Q211+Q210+Q202</f>
        <v>79000</v>
      </c>
      <c r="R223" s="30"/>
      <c r="S223" s="31">
        <f>+S222+S221+S220+S219+S218+S217+S212+S211+S210+S202</f>
        <v>65563.900000000009</v>
      </c>
      <c r="T223" s="31">
        <f>+T222+T221+T220+T219+T218+T217+T212+T211+T210+T202</f>
        <v>79100</v>
      </c>
      <c r="U223" s="16"/>
      <c r="V223" s="70">
        <f>+V222+V221+V220+V219+V218+V217+V212+V211+V210+V202</f>
        <v>92791.719999999987</v>
      </c>
      <c r="W223" s="31">
        <f>+W222+W221+W220+W219+W218+W217+W212+W211+W210+W202</f>
        <v>71200</v>
      </c>
      <c r="Y223" s="65">
        <f>+Y222+Y221+Y220+Y219+Y218+Y217+Y212+Y211+Y210+Y202</f>
        <v>87500</v>
      </c>
      <c r="Z223" s="86"/>
    </row>
    <row r="224" spans="1:26" x14ac:dyDescent="0.3">
      <c r="A224" s="18" t="s">
        <v>141</v>
      </c>
      <c r="B224" s="18"/>
      <c r="C224" s="18"/>
      <c r="D224" s="27"/>
      <c r="E224" s="28"/>
      <c r="F224" s="28"/>
      <c r="G224" s="27"/>
      <c r="H224" s="27"/>
      <c r="I224" s="27"/>
      <c r="J224" s="28"/>
      <c r="K224" s="27"/>
      <c r="L224" s="28"/>
      <c r="M224" s="29"/>
      <c r="P224" s="32">
        <v>2500</v>
      </c>
      <c r="Q224" s="30"/>
      <c r="R224" s="30"/>
      <c r="S224" s="30">
        <v>5789.91</v>
      </c>
      <c r="T224" s="31"/>
      <c r="U224" s="16"/>
      <c r="V224" s="84">
        <v>110</v>
      </c>
      <c r="W224" s="30">
        <v>1000</v>
      </c>
      <c r="Y224" s="32">
        <v>100</v>
      </c>
      <c r="Z224" s="86"/>
    </row>
    <row r="225" spans="1:26" x14ac:dyDescent="0.3">
      <c r="A225" s="18"/>
      <c r="B225" s="18"/>
      <c r="C225" s="18"/>
      <c r="D225" s="27"/>
      <c r="E225" s="28"/>
      <c r="F225" s="28"/>
      <c r="G225" s="27"/>
      <c r="H225" s="27"/>
      <c r="I225" s="27"/>
      <c r="J225" s="28"/>
      <c r="K225" s="27"/>
      <c r="L225" s="28"/>
      <c r="M225" s="29"/>
      <c r="P225" s="32"/>
      <c r="Q225" s="30"/>
      <c r="R225" s="30"/>
      <c r="S225" s="30"/>
      <c r="T225" s="31"/>
      <c r="U225" s="16"/>
      <c r="W225" s="30"/>
      <c r="Z225" s="86"/>
    </row>
    <row r="226" spans="1:26" ht="16.2" thickBot="1" x14ac:dyDescent="0.35">
      <c r="A226" s="18" t="s">
        <v>142</v>
      </c>
      <c r="B226" s="18"/>
      <c r="C226" s="18"/>
      <c r="D226" s="33">
        <v>1112.44</v>
      </c>
      <c r="E226" s="28"/>
      <c r="F226" s="28"/>
      <c r="G226" s="33">
        <v>600</v>
      </c>
      <c r="I226" s="27">
        <v>81.83</v>
      </c>
      <c r="J226" s="28"/>
      <c r="K226" s="27">
        <v>750</v>
      </c>
      <c r="L226" s="28"/>
      <c r="M226" s="29">
        <f>ROUND(IF(K226=0, IF(I226=0, 0, 1), I226/K226),5)</f>
        <v>0.10911</v>
      </c>
      <c r="P226" s="37">
        <v>395.1</v>
      </c>
      <c r="Q226" s="38"/>
      <c r="R226" s="38"/>
      <c r="S226" s="38">
        <v>796.57</v>
      </c>
      <c r="T226" s="39">
        <v>500</v>
      </c>
      <c r="U226" s="16"/>
      <c r="V226" s="85">
        <v>556.6</v>
      </c>
      <c r="W226" s="38">
        <v>500</v>
      </c>
      <c r="Y226" s="32">
        <v>500</v>
      </c>
      <c r="Z226" s="86"/>
    </row>
    <row r="227" spans="1:26" x14ac:dyDescent="0.3">
      <c r="A227" s="18" t="s">
        <v>143</v>
      </c>
      <c r="B227" s="18"/>
      <c r="C227" s="18"/>
      <c r="D227" s="27">
        <f>ROUND(SUM(D226:D226),5)</f>
        <v>1112.44</v>
      </c>
      <c r="E227" s="28"/>
      <c r="F227" s="28"/>
      <c r="G227" s="27">
        <f>ROUND(SUM(G226:G226),5)</f>
        <v>600</v>
      </c>
      <c r="I227" s="63">
        <f>ROUND(SUM(I226:I226),5)</f>
        <v>81.83</v>
      </c>
      <c r="J227" s="28"/>
      <c r="K227" s="63">
        <f>ROUND(SUM(K226:K226),5)</f>
        <v>750</v>
      </c>
      <c r="L227" s="28"/>
      <c r="M227" s="64">
        <f>ROUND(IF(K227=0, IF(I227=0, 0, 1), I227/K227),5)</f>
        <v>0.10911</v>
      </c>
      <c r="P227" s="30">
        <f>+P226</f>
        <v>395.1</v>
      </c>
      <c r="Q227" s="30">
        <f>+Q226</f>
        <v>0</v>
      </c>
      <c r="R227" s="30"/>
      <c r="S227" s="31">
        <f>+S226</f>
        <v>796.57</v>
      </c>
      <c r="T227" s="31">
        <f>+T226</f>
        <v>500</v>
      </c>
      <c r="U227" s="16"/>
      <c r="V227" s="65">
        <f>+V226</f>
        <v>556.6</v>
      </c>
      <c r="W227" s="31">
        <f>+W226</f>
        <v>500</v>
      </c>
      <c r="Y227" s="65">
        <f>+Y226</f>
        <v>500</v>
      </c>
      <c r="Z227" s="86"/>
    </row>
    <row r="228" spans="1:26" x14ac:dyDescent="0.3">
      <c r="A228" s="18"/>
      <c r="B228" s="18"/>
      <c r="C228" s="18"/>
      <c r="D228" s="27"/>
      <c r="E228" s="28"/>
      <c r="F228" s="28"/>
      <c r="G228" s="27"/>
      <c r="I228" s="27"/>
      <c r="J228" s="28"/>
      <c r="K228" s="27"/>
      <c r="L228" s="28"/>
      <c r="M228" s="29"/>
      <c r="P228" s="32"/>
      <c r="Q228" s="30"/>
      <c r="R228" s="30"/>
      <c r="S228" s="30"/>
      <c r="T228" s="31"/>
      <c r="U228" s="16"/>
      <c r="W228" s="30"/>
      <c r="Z228" s="86"/>
    </row>
    <row r="229" spans="1:26" x14ac:dyDescent="0.3">
      <c r="A229" s="18"/>
      <c r="B229" s="18"/>
      <c r="C229" s="18"/>
      <c r="D229" s="27"/>
      <c r="E229" s="28"/>
      <c r="F229" s="28"/>
      <c r="G229" s="27"/>
      <c r="I229" s="27"/>
      <c r="J229" s="28"/>
      <c r="K229" s="27"/>
      <c r="L229" s="28"/>
      <c r="M229" s="29"/>
      <c r="P229" s="32"/>
      <c r="Q229" s="30"/>
      <c r="R229" s="30"/>
      <c r="S229" s="30"/>
      <c r="T229" s="31"/>
      <c r="U229" s="16"/>
      <c r="W229" s="30"/>
      <c r="Z229" s="86"/>
    </row>
    <row r="230" spans="1:26" x14ac:dyDescent="0.3">
      <c r="A230" s="18" t="s">
        <v>144</v>
      </c>
      <c r="B230" s="18"/>
      <c r="C230" s="18"/>
      <c r="D230" s="27">
        <v>5150</v>
      </c>
      <c r="E230" s="28"/>
      <c r="F230" s="28"/>
      <c r="G230" s="27">
        <v>5000</v>
      </c>
      <c r="I230" s="27"/>
      <c r="J230" s="28"/>
      <c r="K230" s="27"/>
      <c r="L230" s="28"/>
      <c r="M230" s="29"/>
      <c r="P230" s="32"/>
      <c r="Q230" s="30"/>
      <c r="R230" s="30"/>
      <c r="S230" s="30"/>
      <c r="T230" s="31"/>
      <c r="U230" s="16"/>
      <c r="W230" s="30"/>
      <c r="Z230" s="86"/>
    </row>
    <row r="231" spans="1:26" x14ac:dyDescent="0.3">
      <c r="A231" s="18" t="s">
        <v>145</v>
      </c>
      <c r="B231" s="18"/>
      <c r="C231" s="18"/>
      <c r="D231" s="27"/>
      <c r="E231" s="28"/>
      <c r="F231" s="28"/>
      <c r="G231" s="27"/>
      <c r="I231" s="27"/>
      <c r="J231" s="28"/>
      <c r="K231" s="27"/>
      <c r="L231" s="28"/>
      <c r="M231" s="29"/>
      <c r="P231" s="32">
        <v>10000</v>
      </c>
      <c r="Q231" s="30"/>
      <c r="R231" s="30"/>
      <c r="S231" s="30"/>
      <c r="T231" s="31"/>
      <c r="U231" s="16"/>
      <c r="W231" s="30"/>
      <c r="Z231" s="86"/>
    </row>
    <row r="232" spans="1:26" ht="16.2" thickBot="1" x14ac:dyDescent="0.35">
      <c r="A232" s="18" t="s">
        <v>146</v>
      </c>
      <c r="B232" s="18"/>
      <c r="C232" s="18"/>
      <c r="D232" s="33">
        <v>404.82</v>
      </c>
      <c r="E232" s="28"/>
      <c r="F232" s="28"/>
      <c r="G232" s="33">
        <v>400</v>
      </c>
      <c r="I232" s="27"/>
      <c r="J232" s="28"/>
      <c r="K232" s="27"/>
      <c r="L232" s="28"/>
      <c r="M232" s="29"/>
      <c r="P232" s="32"/>
      <c r="Q232" s="30">
        <v>1000</v>
      </c>
      <c r="R232" s="30"/>
      <c r="S232" s="30"/>
      <c r="T232" s="31">
        <v>1000</v>
      </c>
      <c r="U232" s="16"/>
      <c r="W232" s="30">
        <v>1000</v>
      </c>
      <c r="Y232" s="32">
        <v>1000</v>
      </c>
      <c r="Z232" s="86"/>
    </row>
    <row r="233" spans="1:26" x14ac:dyDescent="0.3">
      <c r="A233" s="18"/>
      <c r="B233" s="18"/>
      <c r="C233" s="18"/>
      <c r="D233" s="27">
        <f>ROUND(SUM(D229:D232),5)</f>
        <v>5554.82</v>
      </c>
      <c r="E233" s="28"/>
      <c r="F233" s="28"/>
      <c r="G233" s="27">
        <f>ROUND(SUM(G229:G232),5)</f>
        <v>5400</v>
      </c>
      <c r="I233" s="27"/>
      <c r="J233" s="28"/>
      <c r="K233" s="27"/>
      <c r="L233" s="28"/>
      <c r="M233" s="29"/>
      <c r="P233" s="32"/>
      <c r="Q233" s="30"/>
      <c r="R233" s="30"/>
      <c r="S233" s="30"/>
      <c r="T233" s="31"/>
      <c r="U233" s="16"/>
      <c r="W233" s="30"/>
      <c r="Z233" s="86"/>
    </row>
    <row r="234" spans="1:26" x14ac:dyDescent="0.3">
      <c r="A234" s="18" t="s">
        <v>147</v>
      </c>
      <c r="B234" s="18"/>
      <c r="C234" s="18"/>
      <c r="D234" s="27"/>
      <c r="E234" s="28"/>
      <c r="F234" s="28"/>
      <c r="G234" s="27"/>
      <c r="I234" s="27"/>
      <c r="J234" s="28"/>
      <c r="K234" s="27"/>
      <c r="L234" s="28"/>
      <c r="M234" s="29"/>
      <c r="P234" s="32">
        <v>500</v>
      </c>
      <c r="Q234" s="30"/>
      <c r="R234" s="30"/>
      <c r="S234" s="30"/>
      <c r="T234" s="31"/>
      <c r="U234" s="16"/>
      <c r="W234" s="30">
        <v>500</v>
      </c>
      <c r="Y234" s="32">
        <v>500</v>
      </c>
      <c r="Z234" s="86"/>
    </row>
    <row r="235" spans="1:26" x14ac:dyDescent="0.3">
      <c r="A235" s="18"/>
      <c r="B235" s="18"/>
      <c r="C235" s="18"/>
      <c r="D235" s="27"/>
      <c r="E235" s="28"/>
      <c r="F235" s="28"/>
      <c r="G235" s="27"/>
      <c r="I235" s="27"/>
      <c r="J235" s="28"/>
      <c r="K235" s="27"/>
      <c r="L235" s="28"/>
      <c r="M235" s="29"/>
      <c r="P235" s="32"/>
      <c r="Q235" s="30"/>
      <c r="R235" s="30"/>
      <c r="S235" s="30"/>
      <c r="T235" s="31"/>
      <c r="U235" s="16"/>
      <c r="W235" s="30"/>
      <c r="Z235" s="86"/>
    </row>
    <row r="236" spans="1:26" x14ac:dyDescent="0.3">
      <c r="A236" s="18" t="s">
        <v>172</v>
      </c>
      <c r="B236" s="18"/>
      <c r="C236" s="18"/>
      <c r="D236" s="27"/>
      <c r="E236" s="28"/>
      <c r="F236" s="28"/>
      <c r="G236" s="27"/>
      <c r="I236" s="27"/>
      <c r="J236" s="28"/>
      <c r="K236" s="27"/>
      <c r="L236" s="28"/>
      <c r="M236" s="29"/>
      <c r="P236" s="32"/>
      <c r="Q236" s="30"/>
      <c r="R236" s="30"/>
      <c r="S236" s="30"/>
      <c r="T236" s="31"/>
      <c r="U236" s="16"/>
      <c r="W236" s="17"/>
      <c r="Z236" s="86"/>
    </row>
    <row r="237" spans="1:26" ht="16.2" thickBot="1" x14ac:dyDescent="0.35">
      <c r="A237" s="18"/>
      <c r="B237" s="18"/>
      <c r="C237" s="18"/>
      <c r="D237" s="27">
        <v>-51.87</v>
      </c>
      <c r="E237" s="28"/>
      <c r="F237" s="28"/>
      <c r="G237" s="27"/>
      <c r="I237" s="27"/>
      <c r="J237" s="28"/>
      <c r="K237" s="27"/>
      <c r="L237" s="28"/>
      <c r="M237" s="29"/>
      <c r="P237" s="37"/>
      <c r="Q237" s="38"/>
      <c r="R237" s="38"/>
      <c r="S237" s="38"/>
      <c r="T237" s="39"/>
      <c r="U237" s="16"/>
      <c r="V237" s="69"/>
      <c r="W237" s="38"/>
      <c r="Z237" s="86"/>
    </row>
    <row r="238" spans="1:26" ht="16.8" thickTop="1" thickBot="1" x14ac:dyDescent="0.35">
      <c r="A238" s="18" t="s">
        <v>152</v>
      </c>
      <c r="B238" s="18"/>
      <c r="C238" s="18"/>
      <c r="D238" s="41">
        <v>606943.80000000005</v>
      </c>
      <c r="E238" s="28"/>
      <c r="F238" s="28"/>
      <c r="G238" s="41">
        <v>623570</v>
      </c>
      <c r="I238" s="33">
        <f>ROUND(I65+I69+I90+I99+I104+I115+I123+I128+I173+I186+I199+I223+I227,5)</f>
        <v>604358.12</v>
      </c>
      <c r="J238" s="28"/>
      <c r="K238" s="33">
        <f>ROUND(K65+K69+K90+K99+K104+K115+K123+K128+K173+K186+K199+K223+K227,5)</f>
        <v>614043.4</v>
      </c>
      <c r="L238" s="28"/>
      <c r="M238" s="34">
        <f>ROUND(IF(K238=0, IF(I238=0, 0, 1), I238/K238),5)</f>
        <v>0.98423000000000005</v>
      </c>
      <c r="P238" s="50">
        <f>+P227+P223+P199+P186+P173+P128+P123+P115+P104+P99+P90+P69+P231+P234+P224</f>
        <v>623353.16</v>
      </c>
      <c r="Q238" s="50">
        <f>+Q227+Q223+Q199+Q186+Q173+Q128+Q123+Q115+Q104+Q99+Q90+Q69+Q232</f>
        <v>609171.32000000007</v>
      </c>
      <c r="R238" s="50"/>
      <c r="S238" s="51">
        <f>+S232+S227+S223+S199+S186+S128+S123+S115+S104+S99+S90+S69+S224+S173</f>
        <v>596551.78299999994</v>
      </c>
      <c r="T238" s="51">
        <f>+T232+T227+T223+T199+T186+T171+T159+T144+T128+T123+T115+T104+T99+T90+T69</f>
        <v>584661.35884999996</v>
      </c>
      <c r="U238" s="16"/>
      <c r="V238" s="72">
        <f>+V232+V227+V223+V199+V186+V128+V123+V115+V104+V99+V90+V69+V224+V173</f>
        <v>637209.1399999999</v>
      </c>
      <c r="W238" s="72">
        <f>+W234+W232+W227+W223+W199+W186+W128+W123+W115+W104+W99+W90+W69+W224+W173</f>
        <v>596726.92500499997</v>
      </c>
      <c r="Y238" s="75">
        <f>+Y234+Y232+Y227+Y223+Y199+Y186+Y128+Y123+Y115+Y104+Y99+Y90+Y69+Y224+Y173</f>
        <v>662667.15901000006</v>
      </c>
      <c r="Z238" s="86"/>
    </row>
    <row r="239" spans="1:26" x14ac:dyDescent="0.3">
      <c r="A239" s="18"/>
      <c r="B239" s="18"/>
      <c r="C239" s="18"/>
      <c r="D239" s="27"/>
      <c r="E239" s="28"/>
      <c r="F239" s="28"/>
      <c r="G239" s="27"/>
      <c r="I239" s="27"/>
      <c r="J239" s="28"/>
      <c r="K239" s="27"/>
      <c r="L239" s="28"/>
      <c r="M239" s="29"/>
      <c r="P239" s="32"/>
      <c r="Q239" s="30"/>
      <c r="R239" s="30"/>
      <c r="S239" s="30"/>
      <c r="T239" s="31"/>
      <c r="U239" s="16"/>
      <c r="W239" s="30"/>
      <c r="Z239" s="86"/>
    </row>
    <row r="240" spans="1:26" x14ac:dyDescent="0.3">
      <c r="A240" s="18" t="s">
        <v>153</v>
      </c>
      <c r="B240" s="18"/>
      <c r="C240" s="18"/>
      <c r="D240" s="27" t="e">
        <f>ROUND(#REF!+D63-D238,5)</f>
        <v>#REF!</v>
      </c>
      <c r="E240" s="28"/>
      <c r="F240" s="28"/>
      <c r="G240" s="27" t="e">
        <f>ROUND(#REF!+G63-G238,5)</f>
        <v>#REF!</v>
      </c>
      <c r="I240" s="27" t="e">
        <f>ROUND(#REF!+I63-I238,5)</f>
        <v>#REF!</v>
      </c>
      <c r="J240" s="28"/>
      <c r="K240" s="27" t="e">
        <f>ROUND(#REF!+K63-K238,5)</f>
        <v>#REF!</v>
      </c>
      <c r="L240" s="28"/>
      <c r="M240" s="29" t="e">
        <f>ROUND(IF(K240=0, IF(I240=0, 0, 1), I240/K240),5)</f>
        <v>#REF!</v>
      </c>
      <c r="P240" s="32">
        <f>+P63-P238</f>
        <v>-47742.729999999981</v>
      </c>
      <c r="Q240" s="32">
        <f>+Q63-Q238</f>
        <v>-71846.320000000065</v>
      </c>
      <c r="R240" s="32"/>
      <c r="S240" s="65">
        <f>+S63-S238</f>
        <v>-5292.4629999998724</v>
      </c>
      <c r="T240" s="65">
        <f>+T63-T238</f>
        <v>9560.3611500000115</v>
      </c>
      <c r="U240" s="16"/>
      <c r="V240" s="65">
        <f>+V63-V238</f>
        <v>17282.39000000013</v>
      </c>
      <c r="W240" s="65">
        <f>+W63-W238</f>
        <v>15323.074995000032</v>
      </c>
      <c r="Y240" s="65">
        <f>+Y63-Y238</f>
        <v>8707.8409899999388</v>
      </c>
      <c r="Z240" s="86"/>
    </row>
    <row r="241" spans="1:26" x14ac:dyDescent="0.3">
      <c r="A241" s="18"/>
      <c r="B241" s="18"/>
      <c r="C241" s="18"/>
      <c r="D241" s="27"/>
      <c r="E241" s="28"/>
      <c r="F241" s="28"/>
      <c r="G241" s="27"/>
      <c r="I241" s="27"/>
      <c r="J241" s="28"/>
      <c r="K241" s="27"/>
      <c r="L241" s="28"/>
      <c r="M241" s="29"/>
      <c r="Q241" s="30"/>
      <c r="R241" s="30"/>
      <c r="S241" s="30"/>
      <c r="T241" s="31"/>
      <c r="U241" s="16" t="s">
        <v>148</v>
      </c>
      <c r="W241" s="30"/>
      <c r="Z241" s="86"/>
    </row>
    <row r="242" spans="1:26" x14ac:dyDescent="0.3">
      <c r="U242" s="16"/>
      <c r="W242" s="30"/>
      <c r="Z242" s="86"/>
    </row>
    <row r="243" spans="1:26" x14ac:dyDescent="0.3">
      <c r="U243" s="16"/>
      <c r="W243" s="16"/>
      <c r="Z243" s="86"/>
    </row>
    <row r="244" spans="1:26" x14ac:dyDescent="0.3">
      <c r="B244" t="s">
        <v>164</v>
      </c>
      <c r="U244" s="16"/>
      <c r="W244" s="16">
        <f>0.025*(W191+W176+W156)</f>
        <v>2583.5607500000001</v>
      </c>
      <c r="Z244" s="86"/>
    </row>
    <row r="245" spans="1:26" x14ac:dyDescent="0.3">
      <c r="B245" t="s">
        <v>173</v>
      </c>
      <c r="U245" s="16"/>
      <c r="W245" s="16">
        <v>6950</v>
      </c>
      <c r="Z245" s="86"/>
    </row>
    <row r="246" spans="1:26" x14ac:dyDescent="0.3">
      <c r="B246" t="s">
        <v>174</v>
      </c>
      <c r="U246" s="16"/>
      <c r="W246" s="16">
        <f>+W245+W244</f>
        <v>9533.5607500000006</v>
      </c>
      <c r="Z246" s="86"/>
    </row>
    <row r="247" spans="1:26" x14ac:dyDescent="0.3">
      <c r="U247" s="16"/>
      <c r="W247" s="16"/>
      <c r="Z247" s="86"/>
    </row>
    <row r="248" spans="1:26" x14ac:dyDescent="0.3">
      <c r="U248" s="16"/>
      <c r="W248" s="16"/>
      <c r="Z248" s="86"/>
    </row>
    <row r="249" spans="1:26" x14ac:dyDescent="0.3">
      <c r="U249" s="16"/>
      <c r="W249" s="16"/>
      <c r="Z249" s="86"/>
    </row>
    <row r="250" spans="1:26" x14ac:dyDescent="0.3">
      <c r="U250" s="16"/>
      <c r="W250" s="16"/>
      <c r="Z250" s="86"/>
    </row>
    <row r="251" spans="1:26" x14ac:dyDescent="0.3">
      <c r="U251" s="16"/>
      <c r="W251" s="16"/>
      <c r="Z251" s="86"/>
    </row>
    <row r="252" spans="1:26" x14ac:dyDescent="0.3">
      <c r="U252" s="16"/>
      <c r="W252" s="16"/>
      <c r="Z252" s="86"/>
    </row>
    <row r="253" spans="1:26" x14ac:dyDescent="0.3">
      <c r="U253" s="16"/>
      <c r="W253" s="16"/>
      <c r="Z253" s="86"/>
    </row>
    <row r="254" spans="1:26" x14ac:dyDescent="0.3">
      <c r="U254" s="16"/>
      <c r="W254" s="16"/>
      <c r="Z254" s="86"/>
    </row>
    <row r="255" spans="1:26" x14ac:dyDescent="0.3">
      <c r="U255" s="16"/>
      <c r="W255" s="16"/>
      <c r="Z255" s="86"/>
    </row>
    <row r="256" spans="1:26" x14ac:dyDescent="0.3">
      <c r="U256" s="16"/>
      <c r="W256" s="16"/>
      <c r="Z256" s="86"/>
    </row>
    <row r="257" spans="21:26" x14ac:dyDescent="0.3">
      <c r="U257" s="16"/>
      <c r="W257" s="16"/>
      <c r="Z257" s="86"/>
    </row>
    <row r="258" spans="21:26" x14ac:dyDescent="0.3">
      <c r="U258" s="16"/>
      <c r="W258" s="16"/>
      <c r="Z258" s="86"/>
    </row>
    <row r="259" spans="21:26" x14ac:dyDescent="0.3">
      <c r="U259" s="16"/>
      <c r="W259" s="16"/>
      <c r="Z259" s="86"/>
    </row>
    <row r="260" spans="21:26" x14ac:dyDescent="0.3">
      <c r="U260" s="16"/>
      <c r="W260" s="16"/>
      <c r="Z260" s="86"/>
    </row>
  </sheetData>
  <pageMargins left="0.7" right="0.7" top="0.75" bottom="0.75" header="0.3" footer="0.3"/>
  <pageSetup scale="68" fitToHeight="5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M Lord</dc:creator>
  <cp:lastModifiedBy>Richard von Rueden</cp:lastModifiedBy>
  <cp:lastPrinted>2026-01-28T19:44:04Z</cp:lastPrinted>
  <dcterms:created xsi:type="dcterms:W3CDTF">2024-11-15T18:01:30Z</dcterms:created>
  <dcterms:modified xsi:type="dcterms:W3CDTF">2026-01-28T19:45:28Z</dcterms:modified>
</cp:coreProperties>
</file>