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tedcamps.sharepoint.com/sites/UCCR_Office/OfficeDocuments/Accounting/5a. Owner FS - Annual &amp; Qtrly R&amp;E by Acctg/3. 2022-Q4 FS/TOC/"/>
    </mc:Choice>
  </mc:AlternateContent>
  <xr:revisionPtr revIDLastSave="362" documentId="13_ncr:1_{C11862E8-6A68-4465-8884-6E907881540C}" xr6:coauthVersionLast="47" xr6:coauthVersionMax="47" xr10:uidLastSave="{37248BC4-4175-403E-B712-11874B160447}"/>
  <bookViews>
    <workbookView xWindow="-108" yWindow="-108" windowWidth="23256" windowHeight="12576" tabRatio="889" xr2:uid="{00000000-000D-0000-FFFF-FFFF00000000}"/>
  </bookViews>
  <sheets>
    <sheet name="TOC R&amp;E Update 12-31-2022 " sheetId="20" r:id="rId1"/>
    <sheet name="TOC R&amp;E 2022 Budget" sheetId="11" state="hidden" r:id="rId2"/>
    <sheet name="2021 TOC Monthly R&amp;E 12-31-21" sheetId="15" state="hidden" r:id="rId3"/>
    <sheet name="2020 TOC Monthly R&amp;E - NS" sheetId="12" state="hidden" r:id="rId4"/>
  </sheets>
  <externalReferences>
    <externalReference r:id="rId5"/>
    <externalReference r:id="rId6"/>
    <externalReference r:id="rId7"/>
  </externalReferences>
  <definedNames>
    <definedName name="__xlnm.Print_Area" localSheetId="0">#REF!</definedName>
    <definedName name="__xlnm.Print_Area">#REF!</definedName>
    <definedName name="__xlnm.Print_Area_1" localSheetId="0">#REF!</definedName>
    <definedName name="__xlnm.Print_Area_1">#REF!</definedName>
    <definedName name="__xlnm.Print_Area_2">"#REF!"</definedName>
    <definedName name="_1Excel_BuiltIn_Print_Area_2">#REF!</definedName>
    <definedName name="_1Excel_BuiltIn_Print_Area_3">#REF!</definedName>
    <definedName name="_2Excel_BuiltIn_Print_Area_3">#REF!</definedName>
    <definedName name="_2Excel_BuiltIn_Print_Area_3_1">"#REF!"</definedName>
    <definedName name="_3Excel_BuiltIn_Print_Area_5">#REF!</definedName>
    <definedName name="_3Excel_BuiltIn_Print_Area_5_1">"#REF!"</definedName>
    <definedName name="_4PRINT_AREA_MI_1">#REF!</definedName>
    <definedName name="_4PRINT_AREA_MI_1_1">"#REF!"</definedName>
    <definedName name="_5PRINT_AREA_MI_1_1">#REF!</definedName>
    <definedName name="_5PRINT_AREA_MI_1_1_1">"#REF!"</definedName>
    <definedName name="_shared_formula" localSheetId="0">+#REF!*#REF!</definedName>
    <definedName name="_shared_formula">+#REF!*#REF!</definedName>
    <definedName name="_Sort" localSheetId="0" hidden="1">#REF!</definedName>
    <definedName name="_Sort" hidden="1">#REF!</definedName>
    <definedName name="a" localSheetId="0">IF((+#REF!+#REF!)=0," ",#REF!/(+#REF!+#REF!))</definedName>
    <definedName name="a">IF((+#REF!+#REF!)=0," ",#REF!/(+#REF!+#REF!))</definedName>
    <definedName name="ASHARED_FORMULA_2_34_2_34_1" localSheetId="0">IF((+#REF!+#REF!)=0," ",#REF!/(+#REF!+#REF!))</definedName>
    <definedName name="ASHARED_FORMULA_2_34_2_34_1">IF((+#REF!+#REF!)=0," ",#REF!/(+#REF!+#REF!))</definedName>
    <definedName name="Excel_BuiltIn_Print_Area">#N/A</definedName>
    <definedName name="Excel_BuiltIn_Print_Area_1">NA()</definedName>
    <definedName name="Excel_BuiltIn_Print_Area_3">#N/A</definedName>
    <definedName name="Excel_BuiltIn_Print_Area_3_1">NA()</definedName>
    <definedName name="Excel_BuiltIn_Print_Area_6">#REF!</definedName>
    <definedName name="Excel_BuiltIn_Print_Area_7">#REF!</definedName>
    <definedName name="Excel_BuiltIn_Print_Area_7_1">"#REF!"</definedName>
    <definedName name="_xlnm.Print_Area" localSheetId="1">'TOC R&amp;E 2022 Budget'!$A$1:$Q$55</definedName>
    <definedName name="_xlnm.Print_Area" localSheetId="0">'TOC R&amp;E Update 12-31-2022 '!$A$1:$Q$56</definedName>
    <definedName name="_xlnm.Print_Area">#REF!</definedName>
    <definedName name="Print_Area_MI">#REF!</definedName>
    <definedName name="Print_Area_MI_1">#REF!</definedName>
    <definedName name="PRINT_AREA_MI_1_1">#REF!</definedName>
    <definedName name="SHARED_FORMULA_2_12_2_12_0">SUM(#REF!)</definedName>
    <definedName name="SHARED_FORMULA_2_12_2_12_0_1" localSheetId="0">SUM("#REF!)")</definedName>
    <definedName name="SHARED_FORMULA_2_12_2_12_0_1">SUM("#REF!)")</definedName>
    <definedName name="SHARED_FORMULA_2_12_2_12_0_2">SUM("#REF!)")</definedName>
    <definedName name="SHARED_FORMULA_2_12_2_12_1">SUM(#REF!)</definedName>
    <definedName name="SHARED_FORMULA_2_12_2_12_1_1">SUM("#REF!)")</definedName>
    <definedName name="SHARED_FORMULA_2_12_2_12_1_2">SUM("#REF!)")</definedName>
    <definedName name="SHARED_FORMULA_2_12_2_12_2">SUM(#REF!)</definedName>
    <definedName name="SHARED_FORMULA_2_12_2_12_2_1">SUM("#REF!)")</definedName>
    <definedName name="SHARED_FORMULA_2_12_2_12_2_2">SUM("#REF!)")</definedName>
    <definedName name="SHARED_FORMULA_2_12_2_12_3">SUM(#REF!)</definedName>
    <definedName name="SHARED_FORMULA_2_12_2_12_3_1">SUM("#REF!)")</definedName>
    <definedName name="SHARED_FORMULA_2_12_2_12_3_2">SUM("#REF!)")</definedName>
    <definedName name="SHARED_FORMULA_2_17_2_17_2">#REF!/51</definedName>
    <definedName name="SHARED_FORMULA_2_17_2_17_2_1">"#REF!/51"</definedName>
    <definedName name="SHARED_FORMULA_2_17_2_17_2_2">"#REF!/51"</definedName>
    <definedName name="SHARED_FORMULA_2_20_2_20_0" localSheetId="0">IF((+#REF!+#REF!)=0," ",#REF!/(+#REF!+#REF!))</definedName>
    <definedName name="SHARED_FORMULA_2_20_2_20_0">IF((+#REF!+#REF!)=0," ",#REF!/(+#REF!+#REF!))</definedName>
    <definedName name="SHARED_FORMULA_2_20_2_20_0_1">IF((+"#REF!+#REF!)=0,"" "",#REF!/(+#REF!+#REF!))"),TRUE)</definedName>
    <definedName name="SHARED_FORMULA_2_20_2_20_0_2">IF((+"#REF!+#REF!)=0,"" "",#REF!/(+#REF!+#REF!))"),TRUE)</definedName>
    <definedName name="SHARED_FORMULA_2_20_2_20_1">IF((+#REF!+#REF!)=0," ",#REF!/(+#REF!+#REF!))</definedName>
    <definedName name="SHARED_FORMULA_2_20_2_20_1_1">IF((+"#REF!+#REF!)=0,"" "",#REF!/(+#REF!+#REF!))"),TRUE)</definedName>
    <definedName name="SHARED_FORMULA_2_20_2_20_1_2">IF((+"#REF!+#REF!)=0,"" "",#REF!/(+#REF!+#REF!))"),TRUE)</definedName>
    <definedName name="SHARED_FORMULA_2_20_2_20_2">IF((+#REF!+#REF!)=0," ",#REF!/(+#REF!+#REF!))</definedName>
    <definedName name="SHARED_FORMULA_2_20_2_20_2_1">IF((+"#REF!+#REF!)=0,"" "",#REF!/(+#REF!+#REF!))"),TRUE)</definedName>
    <definedName name="SHARED_FORMULA_2_20_2_20_2_2">IF((+"#REF!+#REF!)=0,"" "",#REF!/(+#REF!+#REF!))"),TRUE)</definedName>
    <definedName name="SHARED_FORMULA_2_20_2_20_3">IF((+#REF!+#REF!)=0," ",#REF!/(+#REF!+#REF!))</definedName>
    <definedName name="SHARED_FORMULA_2_20_2_20_3_1">IF((+"#REF!+#REF!)=0,"" "",#REF!/(+#REF!+#REF!))"),TRUE)</definedName>
    <definedName name="SHARED_FORMULA_2_20_2_20_3_2">IF((+"#REF!+#REF!)=0,"" "",#REF!/(+#REF!+#REF!))"),TRUE)</definedName>
    <definedName name="SHARED_FORMULA_2_21_2_21_2">(#REF!*0.24)/12</definedName>
    <definedName name="SHARED_FORMULA_2_21_2_21_2_1">("#REF!*0.24)/12")</definedName>
    <definedName name="SHARED_FORMULA_2_21_2_21_2_2">("#REF!*0.24)/12")</definedName>
    <definedName name="SHARED_FORMULA_2_22_2_22_1">IF((+#REF!+#REF!)=0," ",#REF!/(+#REF!+#REF!))</definedName>
    <definedName name="SHARED_FORMULA_2_22_2_22_1_1">IF((+"#REF!+#REF!)=0,"" "",#REF!/(+#REF!+#REF!))"),TRUE)</definedName>
    <definedName name="SHARED_FORMULA_2_22_2_22_1_2">IF((+"#REF!+#REF!)=0,"" "",#REF!/(+#REF!+#REF!))"),TRUE)</definedName>
    <definedName name="SHARED_FORMULA_2_22_2_22_2">IF((+#REF!+#REF!)=0," ",#REF!/(+#REF!+#REF!))</definedName>
    <definedName name="SHARED_FORMULA_2_22_2_22_2_1">IF((+"#REF!+#REF!)=0,"" "",#REF!/(+#REF!+#REF!))"),TRUE)</definedName>
    <definedName name="SHARED_FORMULA_2_22_2_22_2_2">IF((+"#REF!+#REF!)=0,"" "",#REF!/(+#REF!+#REF!))"),TRUE)</definedName>
    <definedName name="SHARED_FORMULA_2_22_2_22_3">IF((+#REF!+#REF!)=0," ",#REF!/(+#REF!+#REF!))</definedName>
    <definedName name="SHARED_FORMULA_2_22_2_22_3_1">IF((+"#REF!+#REF!)=0,"" "",#REF!/(+#REF!+#REF!))"),TRUE)</definedName>
    <definedName name="SHARED_FORMULA_2_22_2_22_3_2">IF((+"#REF!+#REF!)=0,"" "",#REF!/(+#REF!+#REF!))"),TRUE)</definedName>
    <definedName name="Shared_Formula_2_22_2_22_3a">IF((+#REF!+#REF!)=0," ",#REF!/(+#REF!+#REF!))</definedName>
    <definedName name="SHARED_FORMULA_2_24_2_24_0">IF(+#REF!=0," ",#REF!/+#REF!)</definedName>
    <definedName name="SHARED_FORMULA_2_24_2_24_0_1">IF(+"#REF!=0,"" "",#REF!/+#REF!)",TRUE)</definedName>
    <definedName name="SHARED_FORMULA_2_24_2_24_0_2">IF(+"#REF!=0,"" "",#REF!/+#REF!)",TRUE)</definedName>
    <definedName name="SHARED_FORMULA_2_24_2_24_1">IF(+#REF!=0," ",#REF!/+#REF!)</definedName>
    <definedName name="SHARED_FORMULA_2_24_2_24_1_1">IF(+"#REF!=0,"" "",#REF!/+#REF!)",TRUE)</definedName>
    <definedName name="SHARED_FORMULA_2_24_2_24_1_2">IF(+"#REF!=0,"" "",#REF!/+#REF!)",TRUE)</definedName>
    <definedName name="SHARED_FORMULA_2_24_2_24_2">IF(+#REF!=0," ",#REF!/+#REF!)</definedName>
    <definedName name="SHARED_FORMULA_2_24_2_24_2_1">IF(+"#REF!=0,"" "",#REF!/+#REF!)",TRUE)</definedName>
    <definedName name="SHARED_FORMULA_2_24_2_24_2_2">IF(+"#REF!=0,"" "",#REF!/+#REF!)",TRUE)</definedName>
    <definedName name="SHARED_FORMULA_2_24_2_24_3">IF(+#REF!=0," ",#REF!/+#REF!)</definedName>
    <definedName name="SHARED_FORMULA_2_24_2_24_3_1">IF(+"#REF!=0,"" "",#REF!/+#REF!)",TRUE)</definedName>
    <definedName name="SHARED_FORMULA_2_24_2_24_3_2">IF(+"#REF!=0,"" "",#REF!/+#REF!)",TRUE)</definedName>
    <definedName name="SHARED_FORMULA_2_25_2_25_2">23795/12</definedName>
    <definedName name="SHARED_FORMULA_2_26_2_26_0">IF((+#REF!+#REF!)=0," ",#REF!/(+#REF!+#REF!))</definedName>
    <definedName name="SHARED_FORMULA_2_26_2_26_0_1">IF((+"#REF!+#REF!)=0,"" "",#REF!/(+#REF!+#REF!))"),TRUE)</definedName>
    <definedName name="SHARED_FORMULA_2_26_2_26_0_2">IF((+"#REF!+#REF!)=0,"" "",#REF!/(+#REF!+#REF!))"),TRUE)</definedName>
    <definedName name="SHARED_FORMULA_2_26_2_26_1">IF((+#REF!+#REF!)=0," ",#REF!/(+#REF!+#REF!))</definedName>
    <definedName name="SHARED_FORMULA_2_26_2_26_1_1">IF((+"#REF!+#REF!)=0,"" "",#REF!/(+#REF!+#REF!))"),TRUE)</definedName>
    <definedName name="SHARED_FORMULA_2_26_2_26_1_2">IF((+"#REF!+#REF!)=0,"" "",#REF!/(+#REF!+#REF!))"),TRUE)</definedName>
    <definedName name="SHARED_FORMULA_2_26_2_26_2">IF((+#REF!+#REF!)=0," ",#REF!/(+#REF!+#REF!))</definedName>
    <definedName name="SHARED_FORMULA_2_26_2_26_2_1">IF((+"#REF!+#REF!)=0,"" "",#REF!/(+#REF!+#REF!))"),TRUE)</definedName>
    <definedName name="SHARED_FORMULA_2_26_2_26_2_2">IF((+"#REF!+#REF!)=0,"" "",#REF!/(+#REF!+#REF!))"),TRUE)</definedName>
    <definedName name="SHARED_FORMULA_2_26_2_26_3">IF((+#REF!+#REF!)=0," ",#REF!/(+#REF!+#REF!))</definedName>
    <definedName name="SHARED_FORMULA_2_26_2_26_3_1">IF((+"#REF!+#REF!)=0,"" "",#REF!/(+#REF!+#REF!))"),TRUE)</definedName>
    <definedName name="SHARED_FORMULA_2_26_2_26_3_2">IF((+"#REF!+#REF!)=0,"" "",#REF!/(+#REF!+#REF!))"),TRUE)</definedName>
    <definedName name="SHARED_FORMULA_2_28_2_28_0">IF(+#REF!=0," ",#REF!/+#REF!)</definedName>
    <definedName name="SHARED_FORMULA_2_28_2_28_0_1">IF(+"#REF!=0,"" "",#REF!/+#REF!)",TRUE)</definedName>
    <definedName name="SHARED_FORMULA_2_28_2_28_0_2">IF(+"#REF!=0,"" "",#REF!/+#REF!)",TRUE)</definedName>
    <definedName name="SHARED_FORMULA_2_28_2_28_1">IF(+#REF!=0," ",#REF!/+#REF!)</definedName>
    <definedName name="SHARED_FORMULA_2_28_2_28_1_1">IF(+"#REF!=0,"" "",#REF!/+#REF!)",TRUE)</definedName>
    <definedName name="SHARED_FORMULA_2_28_2_28_1_2">IF(+"#REF!=0,"" "",#REF!/+#REF!)",TRUE)</definedName>
    <definedName name="SHARED_FORMULA_2_28_2_28_2">IF(+#REF!=0," ",#REF!/+#REF!)</definedName>
    <definedName name="SHARED_FORMULA_2_28_2_28_2_1">IF(+"#REF!=0,"" "",#REF!/+#REF!)",TRUE)</definedName>
    <definedName name="SHARED_FORMULA_2_28_2_28_2_2">IF(+"#REF!=0,"" "",#REF!/+#REF!)",TRUE)</definedName>
    <definedName name="SHARED_FORMULA_2_28_2_28_3">IF(+#REF!=0," ",#REF!/+#REF!)</definedName>
    <definedName name="SHARED_FORMULA_2_28_2_28_3_1">IF(+"#REF!=0,"" "",#REF!/+#REF!)",TRUE)</definedName>
    <definedName name="SHARED_FORMULA_2_28_2_28_3_2">IF(+"#REF!=0,"" "",#REF!/+#REF!)",TRUE)</definedName>
    <definedName name="SHARED_FORMULA_2_30_2_30_0">IF((+#REF!+#REF!)=0," ",#REF!/(+#REF!+#REF!))</definedName>
    <definedName name="SHARED_FORMULA_2_30_2_30_0_1">IF((+"#REF!+#REF!)=0,"" "",#REF!/(+#REF!+#REF!))"),TRUE)</definedName>
    <definedName name="SHARED_FORMULA_2_30_2_30_0_2">IF((+"#REF!+#REF!)=0,"" "",#REF!/(+#REF!+#REF!))"),TRUE)</definedName>
    <definedName name="SHARED_FORMULA_2_30_2_30_1">IF((+#REF!+#REF!)=0," ",#REF!/(+#REF!+#REF!))</definedName>
    <definedName name="SHARED_FORMULA_2_30_2_30_1_1">IF((+"#REF!+#REF!)=0,"" "",#REF!/(+#REF!+#REF!))"),TRUE)</definedName>
    <definedName name="SHARED_FORMULA_2_30_2_30_1_2">IF((+"#REF!+#REF!)=0,"" "",#REF!/(+#REF!+#REF!))"),TRUE)</definedName>
    <definedName name="SHARED_FORMULA_2_30_2_30_2">IF((+#REF!+#REF!)=0," ",#REF!/(+#REF!+#REF!))</definedName>
    <definedName name="SHARED_FORMULA_2_30_2_30_2_1">IF((+"#REF!+#REF!)=0,"" "",#REF!/(+#REF!+#REF!))"),TRUE)</definedName>
    <definedName name="SHARED_FORMULA_2_30_2_30_2_2">IF((+"#REF!+#REF!)=0,"" "",#REF!/(+#REF!+#REF!))"),TRUE)</definedName>
    <definedName name="SHARED_FORMULA_2_30_2_30_3">IF((+#REF!+#REF!)=0," ",#REF!/(+#REF!+#REF!))</definedName>
    <definedName name="SHARED_FORMULA_2_30_2_30_3_1">IF((+"#REF!+#REF!)=0,"" "",#REF!/(+#REF!+#REF!))"),TRUE)</definedName>
    <definedName name="SHARED_FORMULA_2_30_2_30_3_2">IF((+"#REF!+#REF!)=0,"" "",#REF!/(+#REF!+#REF!))"),TRUE)</definedName>
    <definedName name="SHARED_FORMULA_2_32_2_32_0">IF((+#REF!+#REF!)=0," ",#REF!/(+#REF!+#REF!))</definedName>
    <definedName name="SHARED_FORMULA_2_32_2_32_0_1">IF((+"#REF!+#REF!)=0,"" "",#REF!/(+#REF!+#REF!))"),TRUE)</definedName>
    <definedName name="SHARED_FORMULA_2_32_2_32_0_2">IF((+"#REF!+#REF!)=0,"" "",#REF!/(+#REF!+#REF!))"),TRUE)</definedName>
    <definedName name="SHARED_FORMULA_2_32_2_32_1">IF((+#REF!+#REF!)=0," ",#REF!/(+#REF!+#REF!))</definedName>
    <definedName name="SHARED_FORMULA_2_32_2_32_1_1">IF((+"#REF!+#REF!)=0,"" "",#REF!/(+#REF!+#REF!))"),TRUE)</definedName>
    <definedName name="SHARED_FORMULA_2_32_2_32_1_2">IF((+"#REF!+#REF!)=0,"" "",#REF!/(+#REF!+#REF!))"),TRUE)</definedName>
    <definedName name="SHARED_FORMULA_2_32_2_32_2">IF((+#REF!+#REF!)=0," ",#REF!/(+#REF!+#REF!))</definedName>
    <definedName name="SHARED_FORMULA_2_32_2_32_2_1">IF((+"#REF!+#REF!)=0,"" "",#REF!/(+#REF!+#REF!))"),TRUE)</definedName>
    <definedName name="SHARED_FORMULA_2_32_2_32_2_2">IF((+"#REF!+#REF!)=0,"" "",#REF!/(+#REF!+#REF!))"),TRUE)</definedName>
    <definedName name="SHARED_FORMULA_2_32_2_32_3">IF((+#REF!+#REF!)=0," ",#REF!/(+#REF!+#REF!))</definedName>
    <definedName name="SHARED_FORMULA_2_32_2_32_3_1">IF((+"#REF!+#REF!)=0,"" "",#REF!/(+#REF!+#REF!))"),TRUE)</definedName>
    <definedName name="SHARED_FORMULA_2_32_2_32_3_2">IF((+"#REF!+#REF!)=0,"" "",#REF!/(+#REF!+#REF!))"),TRUE)</definedName>
    <definedName name="SHARED_FORMULA_2_34_2_34_0">IF((+#REF!+#REF!)=0," ",#REF!/(+#REF!+#REF!))</definedName>
    <definedName name="SHARED_FORMULA_2_34_2_34_0_1">IF((+"#REF!+#REF!)=0,"" "",#REF!/(+#REF!+#REF!))"),TRUE)</definedName>
    <definedName name="SHARED_FORMULA_2_34_2_34_0_2">IF((+"#REF!+#REF!)=0,"" "",#REF!/(+#REF!+#REF!))"),TRUE)</definedName>
    <definedName name="SHARED_FORMULA_2_34_2_34_1">IF((+#REF!+#REF!)=0," ",#REF!/(+#REF!+#REF!))</definedName>
    <definedName name="SHARED_FORMULA_2_34_2_34_1_1">IF((+"#REF!+#REF!)=0,"" "",#REF!/(+#REF!+#REF!))"),TRUE)</definedName>
    <definedName name="SHARED_FORMULA_2_34_2_34_1_2">IF((+"#REF!+#REF!)=0,"" "",#REF!/(+#REF!+#REF!))"),TRUE)</definedName>
    <definedName name="SHARED_FORMULA_2_34_2_34_2">IF((+#REF!+#REF!)=0," ",#REF!/(+#REF!+#REF!))</definedName>
    <definedName name="SHARED_FORMULA_2_34_2_34_2_1">IF((+"#REF!+#REF!)=0,"" "",#REF!/(+#REF!+#REF!))"),TRUE)</definedName>
    <definedName name="SHARED_FORMULA_2_34_2_34_2_2">IF((+"#REF!+#REF!)=0,"" "",#REF!/(+#REF!+#REF!))"),TRUE)</definedName>
    <definedName name="SHARED_FORMULA_2_34_2_34_3">IF((+#REF!+#REF!)=0," ",#REF!/(+#REF!+#REF!))</definedName>
    <definedName name="SHARED_FORMULA_2_34_2_34_3_1">IF((+"#REF!+#REF!)=0,"" "",#REF!/(+#REF!+#REF!))"),TRUE)</definedName>
    <definedName name="SHARED_FORMULA_2_34_2_34_3_2">IF((+"#REF!+#REF!)=0,"" "",#REF!/(+#REF!+#REF!))"),TRUE)</definedName>
    <definedName name="SHARED_FORMULA_2_35_2_35_2">14328/12</definedName>
    <definedName name="SHARED_FORMULA_2_36_2_36_0">IF((+#REF!+#REF!)=0," ",#REF!/(+#REF!+#REF!))</definedName>
    <definedName name="SHARED_FORMULA_2_36_2_36_0_1">IF((+"#REF!+#REF!)=0,"" "",#REF!/(+#REF!+#REF!))"),TRUE)</definedName>
    <definedName name="SHARED_FORMULA_2_36_2_36_0_2">IF((+"#REF!+#REF!)=0,"" "",#REF!/(+#REF!+#REF!))"),TRUE)</definedName>
    <definedName name="SHARED_FORMULA_2_36_2_36_1">IF((+#REF!+#REF!)=0," ",#REF!/(+#REF!+#REF!))</definedName>
    <definedName name="SHARED_FORMULA_2_36_2_36_1_1">IF((+"#REF!+#REF!)=0,"" "",#REF!/(+#REF!+#REF!))"),TRUE)</definedName>
    <definedName name="SHARED_FORMULA_2_36_2_36_1_2">IF((+"#REF!+#REF!)=0,"" "",#REF!/(+#REF!+#REF!))"),TRUE)</definedName>
    <definedName name="SHARED_FORMULA_2_36_2_36_2">IF((+#REF!+#REF!)=0," ",#REF!/(+#REF!+#REF!))</definedName>
    <definedName name="SHARED_FORMULA_2_36_2_36_2_1">IF((+"#REF!+#REF!)=0,"" "",#REF!/(+#REF!+#REF!))"),TRUE)</definedName>
    <definedName name="SHARED_FORMULA_2_36_2_36_2_2">IF((+"#REF!+#REF!)=0,"" "",#REF!/(+#REF!+#REF!))"),TRUE)</definedName>
    <definedName name="SHARED_FORMULA_2_36_2_36_3">IF((+#REF!+#REF!)=0," ",#REF!/(+#REF!+#REF!))</definedName>
    <definedName name="SHARED_FORMULA_2_36_2_36_3_1">IF((+"#REF!+#REF!)=0,"" "",#REF!/(+#REF!+#REF!))"),TRUE)</definedName>
    <definedName name="SHARED_FORMULA_2_36_2_36_3_2">IF((+"#REF!+#REF!)=0,"" "",#REF!/(+#REF!+#REF!))"),TRUE)</definedName>
    <definedName name="SHARED_FORMULA_2_37_2_37_2">+#REF!*#REF!</definedName>
    <definedName name="SHARED_FORMULA_2_37_2_37_2_1">+"#REF!*#REF!"</definedName>
    <definedName name="SHARED_FORMULA_2_37_2_37_2_2">+"#REF!*#REF!"</definedName>
    <definedName name="SHARED_FORMULA_2_38_2_38_0">IF((+#REF!+#REF!)=0," ",#REF!/(+#REF!+#REF!))</definedName>
    <definedName name="SHARED_FORMULA_2_38_2_38_0_1">IF((+"#REF!+#REF!)=0,"" "",#REF!/(+#REF!+#REF!))"),TRUE)</definedName>
    <definedName name="SHARED_FORMULA_2_38_2_38_0_2">IF((+"#REF!+#REF!)=0,"" "",#REF!/(+#REF!+#REF!))"),TRUE)</definedName>
    <definedName name="SHARED_FORMULA_2_38_2_38_1">IF((+#REF!+#REF!)=0," ",#REF!/(+#REF!+#REF!))</definedName>
    <definedName name="SHARED_FORMULA_2_38_2_38_1_1">IF((+"#REF!+#REF!)=0,"" "",#REF!/(+#REF!+#REF!))"),TRUE)</definedName>
    <definedName name="SHARED_FORMULA_2_38_2_38_1_2">IF((+"#REF!+#REF!)=0,"" "",#REF!/(+#REF!+#REF!))"),TRUE)</definedName>
    <definedName name="SHARED_FORMULA_2_38_2_38_2">IF((+#REF!+#REF!)=0," ",#REF!/(+#REF!+#REF!))</definedName>
    <definedName name="SHARED_FORMULA_2_38_2_38_2_1">IF((+"#REF!+#REF!)=0,"" "",#REF!/(+#REF!+#REF!))"),TRUE)</definedName>
    <definedName name="SHARED_FORMULA_2_38_2_38_2_2">IF((+"#REF!+#REF!)=0,"" "",#REF!/(+#REF!+#REF!))"),TRUE)</definedName>
    <definedName name="SHARED_FORMULA_2_38_2_38_3">IF((+#REF!+#REF!)=0," ",#REF!/(+#REF!+#REF!))</definedName>
    <definedName name="SHARED_FORMULA_2_38_2_38_3_1">IF((+"#REF!+#REF!)=0,"" "",#REF!/(+#REF!+#REF!))"),TRUE)</definedName>
    <definedName name="SHARED_FORMULA_2_38_2_38_3_2">IF((+"#REF!+#REF!)=0,"" "",#REF!/(+#REF!+#REF!))"),TRUE)</definedName>
    <definedName name="SHARED_FORMULA_2_40_2_40_0">IF((+#REF!+#REF!)=0," ",#REF!/(+#REF!+#REF!))</definedName>
    <definedName name="SHARED_FORMULA_2_40_2_40_0_1">IF((+"#REF!+#REF!)=0,"" "",#REF!/(+#REF!+#REF!))"),TRUE)</definedName>
    <definedName name="SHARED_FORMULA_2_40_2_40_0_2">IF((+"#REF!+#REF!)=0,"" "",#REF!/(+#REF!+#REF!))"),TRUE)</definedName>
    <definedName name="SHARED_FORMULA_2_40_2_40_1">IF((+#REF!+#REF!)=0," ",#REF!/(+#REF!+#REF!))</definedName>
    <definedName name="SHARED_FORMULA_2_40_2_40_1_1">IF((+"#REF!+#REF!)=0,"" "",#REF!/(+#REF!+#REF!))"),TRUE)</definedName>
    <definedName name="SHARED_FORMULA_2_40_2_40_1_2">IF((+"#REF!+#REF!)=0,"" "",#REF!/(+#REF!+#REF!))"),TRUE)</definedName>
    <definedName name="SHARED_FORMULA_2_40_2_40_2">IF((+#REF!+#REF!)=0," ",#REF!/(+#REF!+#REF!))</definedName>
    <definedName name="SHARED_FORMULA_2_40_2_40_2_1">IF((+"#REF!+#REF!)=0,"" "",#REF!/(+#REF!+#REF!))"),TRUE)</definedName>
    <definedName name="SHARED_FORMULA_2_40_2_40_2_2">IF((+"#REF!+#REF!)=0,"" "",#REF!/(+#REF!+#REF!))"),TRUE)</definedName>
    <definedName name="SHARED_FORMULA_2_40_2_40_3">IF((+#REF!+#REF!)=0," ",#REF!/(+#REF!+#REF!))</definedName>
    <definedName name="SHARED_FORMULA_2_40_2_40_3_1">IF((+"#REF!+#REF!)=0,"" "",#REF!/(+#REF!+#REF!))"),TRUE)</definedName>
    <definedName name="SHARED_FORMULA_2_40_2_40_3_2">IF((+"#REF!+#REF!)=0,"" "",#REF!/(+#REF!+#REF!))"),TRUE)</definedName>
    <definedName name="SHARED_FORMULA_2_42_2_42_0">IF((+#REF!+#REF!)=0," ",#REF!/(+#REF!+#REF!))</definedName>
    <definedName name="SHARED_FORMULA_2_42_2_42_0_1">IF((+"#REF!+#REF!)=0,"" "",#REF!/(+#REF!+#REF!))"),TRUE)</definedName>
    <definedName name="SHARED_FORMULA_2_42_2_42_0_2">IF((+"#REF!+#REF!)=0,"" "",#REF!/(+#REF!+#REF!))"),TRUE)</definedName>
    <definedName name="SHARED_FORMULA_2_42_2_42_1">IF((+#REF!+#REF!)=0," ",#REF!/(+#REF!+#REF!))</definedName>
    <definedName name="SHARED_FORMULA_2_42_2_42_1_1">IF((+"#REF!+#REF!)=0,"" "",#REF!/(+#REF!+#REF!))"),TRUE)</definedName>
    <definedName name="SHARED_FORMULA_2_42_2_42_1_2">IF((+"#REF!+#REF!)=0,"" "",#REF!/(+#REF!+#REF!))"),TRUE)</definedName>
    <definedName name="SHARED_FORMULA_2_42_2_42_2">IF((+#REF!+#REF!)=0," ",#REF!/(+#REF!+#REF!))</definedName>
    <definedName name="SHARED_FORMULA_2_42_2_42_2_1">IF((+"#REF!+#REF!)=0,"" "",#REF!/(+#REF!+#REF!))"),TRUE)</definedName>
    <definedName name="SHARED_FORMULA_2_42_2_42_2_2">IF((+"#REF!+#REF!)=0,"" "",#REF!/(+#REF!+#REF!))"),TRUE)</definedName>
    <definedName name="SHARED_FORMULA_2_42_2_42_3">IF((+#REF!+#REF!)=0," ",#REF!/(+#REF!+#REF!))</definedName>
    <definedName name="SHARED_FORMULA_2_42_2_42_3_1">IF((+"#REF!+#REF!)=0,"" "",#REF!/(+#REF!+#REF!))"),TRUE)</definedName>
    <definedName name="SHARED_FORMULA_2_42_2_42_3_2">IF((+"#REF!+#REF!)=0,"" "",#REF!/(+#REF!+#REF!))"),TRUE)</definedName>
    <definedName name="SHARED_FORMULA_2_44_2_44_0">IF((+#REF!+#REF!)=0," ",#REF!/(+#REF!+#REF!))</definedName>
    <definedName name="SHARED_FORMULA_2_44_2_44_0_1">IF((+"#REF!+#REF!)=0,"" "",#REF!/(+#REF!+#REF!))"),TRUE)</definedName>
    <definedName name="SHARED_FORMULA_2_44_2_44_0_2">IF((+"#REF!+#REF!)=0,"" "",#REF!/(+#REF!+#REF!))"),TRUE)</definedName>
    <definedName name="SHARED_FORMULA_2_44_2_44_1">IF((+#REF!+#REF!)=0," ",#REF!/(+#REF!+#REF!))</definedName>
    <definedName name="SHARED_FORMULA_2_44_2_44_1_1">IF((+"#REF!+#REF!)=0,"" "",#REF!/(+#REF!+#REF!))"),TRUE)</definedName>
    <definedName name="SHARED_FORMULA_2_44_2_44_1_2">IF((+"#REF!+#REF!)=0,"" "",#REF!/(+#REF!+#REF!))"),TRUE)</definedName>
    <definedName name="SHARED_FORMULA_2_44_2_44_2">IF((+#REF!+#REF!)=0," ",#REF!/(+#REF!+#REF!))</definedName>
    <definedName name="SHARED_FORMULA_2_44_2_44_2_1">IF((+"#REF!+#REF!)=0,"" "",#REF!/(+#REF!+#REF!))"),TRUE)</definedName>
    <definedName name="SHARED_FORMULA_2_44_2_44_2_2">IF((+"#REF!+#REF!)=0,"" "",#REF!/(+#REF!+#REF!))"),TRUE)</definedName>
    <definedName name="SHARED_FORMULA_2_44_2_44_3">IF((+#REF!+#REF!)=0," ",#REF!/(+#REF!+#REF!))</definedName>
    <definedName name="SHARED_FORMULA_2_44_2_44_3_1">IF((+"#REF!+#REF!)=0,"" "",#REF!/(+#REF!+#REF!))"),TRUE)</definedName>
    <definedName name="SHARED_FORMULA_2_44_2_44_3_2">IF((+"#REF!+#REF!)=0,"" "",#REF!/(+#REF!+#REF!))"),TRUE)</definedName>
    <definedName name="SHARED_FORMULA_2_46_2_46_0">IF((+#REF!+#REF!)=0," ",#REF!/(+#REF!+#REF!))</definedName>
    <definedName name="SHARED_FORMULA_2_46_2_46_0_1">IF((+"#REF!+#REF!)=0,"" "",#REF!/(+#REF!+#REF!))"),TRUE)</definedName>
    <definedName name="SHARED_FORMULA_2_46_2_46_0_2">IF((+"#REF!+#REF!)=0,"" "",#REF!/(+#REF!+#REF!))"),TRUE)</definedName>
    <definedName name="SHARED_FORMULA_2_46_2_46_1">IF((+#REF!+#REF!)=0," ",#REF!/(+#REF!+#REF!))</definedName>
    <definedName name="SHARED_FORMULA_2_46_2_46_1_1">IF((+"#REF!+#REF!)=0,"" "",#REF!/(+#REF!+#REF!))"),TRUE)</definedName>
    <definedName name="SHARED_FORMULA_2_46_2_46_1_2">IF((+"#REF!+#REF!)=0,"" "",#REF!/(+#REF!+#REF!))"),TRUE)</definedName>
    <definedName name="SHARED_FORMULA_2_46_2_46_2">IF((+#REF!+#REF!)=0," ",#REF!/(+#REF!+#REF!))</definedName>
    <definedName name="SHARED_FORMULA_2_46_2_46_2_1">IF((+"#REF!+#REF!)=0,"" "",#REF!/(+#REF!+#REF!))"),TRUE)</definedName>
    <definedName name="SHARED_FORMULA_2_46_2_46_2_2">IF((+"#REF!+#REF!)=0,"" "",#REF!/(+#REF!+#REF!))"),TRUE)</definedName>
    <definedName name="SHARED_FORMULA_2_46_2_46_3">IF((+#REF!+#REF!)=0," ",#REF!/(+#REF!+#REF!))</definedName>
    <definedName name="SHARED_FORMULA_2_46_2_46_3_1">IF((+"#REF!+#REF!)=0,"" "",#REF!/(+#REF!+#REF!))"),TRUE)</definedName>
    <definedName name="SHARED_FORMULA_2_46_2_46_3_2">IF((+"#REF!+#REF!)=0,"" "",#REF!/(+#REF!+#REF!))"),TRUE)</definedName>
    <definedName name="SHARED_FORMULA_2_48_2_48_0">IF((+#REF!+#REF!)=0," ",#REF!/(+#REF!+#REF!))</definedName>
    <definedName name="SHARED_FORMULA_2_48_2_48_0_1">IF((+"#REF!+#REF!)=0,"" "",#REF!/(+#REF!+#REF!))"),TRUE)</definedName>
    <definedName name="SHARED_FORMULA_2_48_2_48_0_2">IF((+"#REF!+#REF!)=0,"" "",#REF!/(+#REF!+#REF!))"),TRUE)</definedName>
    <definedName name="SHARED_FORMULA_2_48_2_48_1">IF((+#REF!+#REF!)=0," ",#REF!/(+#REF!+#REF!))</definedName>
    <definedName name="SHARED_FORMULA_2_48_2_48_1_1">IF((+"#REF!+#REF!)=0,"" "",#REF!/(+#REF!+#REF!))"),TRUE)</definedName>
    <definedName name="SHARED_FORMULA_2_48_2_48_1_2">IF((+"#REF!+#REF!)=0,"" "",#REF!/(+#REF!+#REF!))"),TRUE)</definedName>
    <definedName name="SHARED_FORMULA_2_48_2_48_2">IF((+#REF!+#REF!)=0," ",#REF!/(+#REF!+#REF!))</definedName>
    <definedName name="SHARED_FORMULA_2_48_2_48_2_1">IF((+"#REF!+#REF!)=0,"" "",#REF!/(+#REF!+#REF!))"),TRUE)</definedName>
    <definedName name="SHARED_FORMULA_2_48_2_48_2_2">IF((+"#REF!+#REF!)=0,"" "",#REF!/(+#REF!+#REF!))"),TRUE)</definedName>
    <definedName name="SHARED_FORMULA_2_48_2_48_3">IF((+#REF!+#REF!)=0," ",#REF!/(+#REF!+#REF!))</definedName>
    <definedName name="SHARED_FORMULA_2_48_2_48_3_1">IF((+"#REF!+#REF!)=0,"" "",#REF!/(+#REF!+#REF!))"),TRUE)</definedName>
    <definedName name="SHARED_FORMULA_2_48_2_48_3_2">IF((+"#REF!+#REF!)=0,"" "",#REF!/(+#REF!+#REF!))"),TRUE)</definedName>
    <definedName name="SHARED_FORMULA_2_50_2_50_0">IF((+#REF!+#REF!)=0," ",#REF!/(+#REF!+#REF!))</definedName>
    <definedName name="SHARED_FORMULA_2_50_2_50_0_1">IF((+"#REF!+#REF!)=0,"" "",#REF!/(+#REF!+#REF!))"),TRUE)</definedName>
    <definedName name="SHARED_FORMULA_2_50_2_50_0_2">IF((+"#REF!+#REF!)=0,"" "",#REF!/(+#REF!+#REF!))"),TRUE)</definedName>
    <definedName name="SHARED_FORMULA_2_50_2_50_1">IF((+#REF!+#REF!)=0," ",#REF!/(+#REF!+#REF!))</definedName>
    <definedName name="SHARED_FORMULA_2_50_2_50_1_1">IF((+"#REF!+#REF!)=0,"" "",#REF!/(+#REF!+#REF!))"),TRUE)</definedName>
    <definedName name="SHARED_FORMULA_2_50_2_50_1_2">IF((+"#REF!+#REF!)=0,"" "",#REF!/(+#REF!+#REF!))"),TRUE)</definedName>
    <definedName name="SHARED_FORMULA_2_50_2_50_2">IF((+#REF!+#REF!)=0," ",#REF!/(+#REF!+#REF!))</definedName>
    <definedName name="SHARED_FORMULA_2_50_2_50_2_1">IF((+"#REF!+#REF!)=0,"" "",#REF!/(+#REF!+#REF!))"),TRUE)</definedName>
    <definedName name="SHARED_FORMULA_2_50_2_50_2_2">IF((+"#REF!+#REF!)=0,"" "",#REF!/(+#REF!+#REF!))"),TRUE)</definedName>
    <definedName name="SHARED_FORMULA_2_50_2_50_3">IF((+#REF!+#REF!)=0," ",#REF!/(+#REF!+#REF!))</definedName>
    <definedName name="SHARED_FORMULA_2_50_2_50_3_1">IF((+"#REF!+#REF!)=0,"" "",#REF!/(+#REF!+#REF!))"),TRUE)</definedName>
    <definedName name="SHARED_FORMULA_2_50_2_50_3_2">IF((+"#REF!+#REF!)=0,"" "",#REF!/(+#REF!+#REF!))"),TRUE)</definedName>
    <definedName name="SHARED_FORMULA_2_53_2_53_0" localSheetId="0">+#REF!+#REF!+#REF!+#REF!+#REF!+#REF!+#REF!+#REF!+#REF!+#REF!+#REF!+#REF!+#REF!+#REF!+#REF!+#REF!</definedName>
    <definedName name="SHARED_FORMULA_2_53_2_53_0">+#REF!+#REF!+#REF!+#REF!+#REF!+#REF!+#REF!+#REF!+#REF!+#REF!+#REF!+#REF!+#REF!+#REF!+#REF!+#REF!</definedName>
    <definedName name="SHARED_FORMULA_2_53_2_53_0_1">+"#REF!+#REF!+#REF!+#REF!+#REF!+#REF!+#REF!+#REF!+#REF!+#REF!+#REF!+#REF!+#REF!+#REF!+#REF!+#REF!"</definedName>
    <definedName name="SHARED_FORMULA_2_53_2_53_0_2">+"#REF!+#REF!+#REF!+#REF!+#REF!+#REF!+#REF!+#REF!+#REF!+#REF!+#REF!+#REF!+#REF!+#REF!+#REF!+#REF!"</definedName>
    <definedName name="SHARED_FORMULA_2_53_2_53_1">+#REF!+#REF!+#REF!+#REF!+#REF!+#REF!+#REF!+#REF!+#REF!+#REF!+#REF!+#REF!+#REF!+#REF!+#REF!+#REF!</definedName>
    <definedName name="SHARED_FORMULA_2_53_2_53_1_1">+"#REF!+#REF!+#REF!+#REF!+#REF!+#REF!+#REF!+#REF!+#REF!+#REF!+#REF!+#REF!+#REF!+#REF!+#REF!+#REF!"</definedName>
    <definedName name="SHARED_FORMULA_2_53_2_53_1_2">+"#REF!+#REF!+#REF!+#REF!+#REF!+#REF!+#REF!+#REF!+#REF!+#REF!+#REF!+#REF!+#REF!+#REF!+#REF!+#REF!"</definedName>
    <definedName name="SHARED_FORMULA_2_53_2_53_2">+#REF!+#REF!+#REF!+#REF!+#REF!+#REF!+#REF!+#REF!+#REF!+#REF!+#REF!+#REF!+#REF!+#REF!+#REF!+#REF!</definedName>
    <definedName name="SHARED_FORMULA_2_53_2_53_2_1">+"#REF!+#REF!+#REF!+#REF!+#REF!+#REF!+#REF!+#REF!+#REF!+#REF!+#REF!+#REF!+#REF!+#REF!+#REF!+#REF!"</definedName>
    <definedName name="SHARED_FORMULA_2_53_2_53_2_2">+"#REF!+#REF!+#REF!+#REF!+#REF!+#REF!+#REF!+#REF!+#REF!+#REF!+#REF!+#REF!+#REF!+#REF!+#REF!+#REF!"</definedName>
    <definedName name="SHARED_FORMULA_2_53_2_53_3">+#REF!+#REF!+#REF!+#REF!+#REF!+#REF!+#REF!+#REF!+#REF!+#REF!+#REF!+#REF!+#REF!+#REF!+#REF!+#REF!</definedName>
    <definedName name="SHARED_FORMULA_2_53_2_53_3_1">+"#REF!+#REF!+#REF!+#REF!+#REF!+#REF!+#REF!+#REF!+#REF!+#REF!+#REF!+#REF!+#REF!+#REF!+#REF!+#REF!"</definedName>
    <definedName name="SHARED_FORMULA_2_53_2_53_3_2">+"#REF!+#REF!+#REF!+#REF!+#REF!+#REF!+#REF!+#REF!+#REF!+#REF!+#REF!+#REF!+#REF!+#REF!+#REF!+#REF!"</definedName>
    <definedName name="SHARED_FORMULA_2_55_2_55_0">+#REF!-#REF!</definedName>
    <definedName name="SHARED_FORMULA_2_55_2_55_0_1">+"#REF!-#REF!"</definedName>
    <definedName name="SHARED_FORMULA_2_55_2_55_0_2">+"#REF!-#REF!"</definedName>
    <definedName name="SHARED_FORMULA_2_55_2_55_1">+#REF!-#REF!</definedName>
    <definedName name="SHARED_FORMULA_2_55_2_55_1_1">+"#REF!-#REF!"</definedName>
    <definedName name="SHARED_FORMULA_2_55_2_55_1_2">+"#REF!-#REF!"</definedName>
    <definedName name="SHARED_FORMULA_2_55_2_55_2">+#REF!-#REF!</definedName>
    <definedName name="SHARED_FORMULA_2_55_2_55_2_1">+"#REF!-#REF!"</definedName>
    <definedName name="SHARED_FORMULA_2_55_2_55_2_2">+"#REF!-#REF!"</definedName>
    <definedName name="SHARED_FORMULA_2_55_2_55_3">+#REF!-#REF!</definedName>
    <definedName name="SHARED_FORMULA_2_55_2_55_3_1">+"#REF!-#REF!"</definedName>
    <definedName name="SHARED_FORMULA_2_55_2_55_3_2">+"#REF!-#REF!"</definedName>
    <definedName name="SHARED_FORMULA_2_75_2_75_0">+#REF!/#REF!</definedName>
    <definedName name="SHARED_FORMULA_2_75_2_75_0_1">+"#REF!/#REF!"</definedName>
    <definedName name="SHARED_FORMULA_2_75_2_75_0_2">+"#REF!/#REF!"</definedName>
    <definedName name="SHARED_FORMULA_2_75_2_75_1">+#REF!/#REF!</definedName>
    <definedName name="SHARED_FORMULA_2_75_2_75_1_1">+"#REF!/#REF!"</definedName>
    <definedName name="SHARED_FORMULA_2_75_2_75_1_2">+"#REF!/#REF!"</definedName>
    <definedName name="SHARED_FORMULA_2_75_2_75_2">+#REF!/#REF!</definedName>
    <definedName name="SHARED_FORMULA_2_75_2_75_2_1">+"#REF!/#REF!"</definedName>
    <definedName name="SHARED_FORMULA_2_75_2_75_2_2">+"#REF!/#REF!"</definedName>
    <definedName name="SHARED_FORMULA_2_75_2_75_3">+#REF!/#REF!</definedName>
    <definedName name="SHARED_FORMULA_2_75_2_75_3_1">+"#REF!/#REF!"</definedName>
    <definedName name="SHARED_FORMULA_2_75_2_75_3_2">+"#REF!/#REF!"</definedName>
    <definedName name="SHARED_FORMULA_3_14_3_14_2">+#REF!</definedName>
    <definedName name="SHARED_FORMULA_3_14_3_14_2_1">+"#REF!"</definedName>
    <definedName name="SHARED_FORMULA_3_14_3_14_2_2">+"#REF!"</definedName>
    <definedName name="SHARED_FORMULA_3_37_3_37_1">+#REF!*#REF!</definedName>
    <definedName name="SHARED_FORMULA_3_37_3_37_1_1">+"#REF!*#REF!"</definedName>
    <definedName name="SHARED_FORMULA_3_37_3_37_1_2">+"#REF!*#REF!"</definedName>
    <definedName name="SHARED_FORMULA_4_57_4_57_0">+#REF!+#REF!</definedName>
    <definedName name="SHARED_FORMULA_4_57_4_57_0_1">+"#REF!+#REF!"</definedName>
    <definedName name="SHARED_FORMULA_4_57_4_57_0_2">+"#REF!+#REF!"</definedName>
    <definedName name="SHARED_FORMULA_4_57_4_57_1">+#REF!+#REF!</definedName>
    <definedName name="SHARED_FORMULA_4_57_4_57_1_1">+"#REF!+#REF!"</definedName>
    <definedName name="SHARED_FORMULA_4_57_4_57_1_2">+"#REF!+#REF!"</definedName>
    <definedName name="SHARED_FORMULA_4_57_4_57_2">+#REF!+#REF!</definedName>
    <definedName name="SHARED_FORMULA_4_57_4_57_2_1">+"#REF!+#REF!"</definedName>
    <definedName name="SHARED_FORMULA_4_57_4_57_2_2">+"#REF!+#REF!"</definedName>
    <definedName name="SHARED_FORMULA_4_57_4_57_3">+#REF!+#REF!</definedName>
    <definedName name="SHARED_FORMULA_4_57_4_57_3_1">+"#REF!+#REF!"</definedName>
    <definedName name="SHARED_FORMULA_4_57_4_57_3_2">+"#REF!+#REF!"</definedName>
    <definedName name="SHARED_FORMULA_5_22_5_22_0">IF((+#REF!+#REF!)=0," ",#REF!/(+#REF!+#REF!))</definedName>
    <definedName name="SHARED_FORMULA_5_22_5_22_0_1">IF((+"#REF!+#REF!)=0,"" "",#REF!/(+#REF!+#REF!))"),TRUE)</definedName>
    <definedName name="SHARED_FORMULA_5_22_5_22_0_2">IF((+"#REF!+#REF!)=0,"" "",#REF!/(+#REF!+#REF!))"),TRUE)</definedName>
    <definedName name="SHARED_FORMULA_8_37_8_37_3">+#REF!*#REF!</definedName>
    <definedName name="SHARED_FORMULA_8_37_8_37_3_1">+"#REF!*#REF!"</definedName>
    <definedName name="SHARED_FORMULA_8_37_8_37_3_2">+"#REF!*#REF!"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20" l="1"/>
  <c r="D44" i="20"/>
  <c r="D42" i="20"/>
  <c r="D40" i="20"/>
  <c r="D38" i="20"/>
  <c r="D36" i="20"/>
  <c r="D34" i="20"/>
  <c r="D32" i="20"/>
  <c r="D30" i="20"/>
  <c r="D28" i="20"/>
  <c r="D26" i="20"/>
  <c r="D24" i="20"/>
  <c r="D22" i="20"/>
  <c r="D20" i="20"/>
  <c r="L47" i="20"/>
  <c r="L46" i="20"/>
  <c r="L42" i="20"/>
  <c r="L40" i="20"/>
  <c r="L38" i="20"/>
  <c r="L36" i="20"/>
  <c r="L34" i="20"/>
  <c r="L30" i="20"/>
  <c r="L28" i="20"/>
  <c r="L26" i="20"/>
  <c r="L24" i="20"/>
  <c r="L22" i="20"/>
  <c r="L20" i="20"/>
  <c r="M18" i="20"/>
  <c r="O47" i="20"/>
  <c r="O46" i="20"/>
  <c r="N46" i="20"/>
  <c r="M46" i="20"/>
  <c r="O42" i="20"/>
  <c r="N42" i="20"/>
  <c r="M42" i="20"/>
  <c r="O40" i="20"/>
  <c r="N40" i="20"/>
  <c r="M40" i="20"/>
  <c r="O38" i="20"/>
  <c r="N38" i="20"/>
  <c r="M38" i="20"/>
  <c r="O36" i="20"/>
  <c r="N36" i="20"/>
  <c r="M36" i="20"/>
  <c r="O34" i="20"/>
  <c r="N34" i="20"/>
  <c r="M34" i="20"/>
  <c r="O30" i="20"/>
  <c r="N30" i="20"/>
  <c r="M30" i="20"/>
  <c r="O28" i="20"/>
  <c r="N28" i="20"/>
  <c r="M28" i="20"/>
  <c r="O26" i="20"/>
  <c r="N26" i="20"/>
  <c r="M26" i="20"/>
  <c r="O24" i="20"/>
  <c r="N24" i="20"/>
  <c r="M24" i="20"/>
  <c r="O22" i="20"/>
  <c r="O20" i="20" s="1"/>
  <c r="N22" i="20"/>
  <c r="M22" i="20"/>
  <c r="M20" i="20" s="1"/>
  <c r="N20" i="20"/>
  <c r="O18" i="20"/>
  <c r="N18" i="20"/>
  <c r="K41" i="20" l="1"/>
  <c r="K40" i="20" s="1"/>
  <c r="Q41" i="20"/>
  <c r="Q54" i="20"/>
  <c r="J10" i="20"/>
  <c r="Q10" i="20" s="1"/>
  <c r="Q7" i="20"/>
  <c r="Q8" i="20"/>
  <c r="Q9" i="20"/>
  <c r="H11" i="20"/>
  <c r="H13" i="20" s="1"/>
  <c r="D13" i="20"/>
  <c r="E13" i="20"/>
  <c r="F13" i="20"/>
  <c r="G13" i="20"/>
  <c r="I13" i="20"/>
  <c r="K13" i="20"/>
  <c r="L13" i="20"/>
  <c r="M13" i="20"/>
  <c r="N13" i="20"/>
  <c r="O13" i="20"/>
  <c r="Q15" i="20"/>
  <c r="D18" i="20"/>
  <c r="L18" i="20"/>
  <c r="E19" i="20"/>
  <c r="F19" i="20"/>
  <c r="F18" i="20" s="1"/>
  <c r="G19" i="20"/>
  <c r="H19" i="20"/>
  <c r="H18" i="20" s="1"/>
  <c r="I19" i="20"/>
  <c r="I18" i="20" s="1"/>
  <c r="J19" i="20"/>
  <c r="J18" i="20" s="1"/>
  <c r="K19" i="20"/>
  <c r="K18" i="20" s="1"/>
  <c r="Q21" i="20"/>
  <c r="E22" i="20"/>
  <c r="E20" i="20" s="1"/>
  <c r="F22" i="20"/>
  <c r="F20" i="20" s="1"/>
  <c r="G22" i="20"/>
  <c r="G20" i="20" s="1"/>
  <c r="H22" i="20"/>
  <c r="H20" i="20" s="1"/>
  <c r="I22" i="20"/>
  <c r="I20" i="20" s="1"/>
  <c r="J22" i="20"/>
  <c r="J20" i="20" s="1"/>
  <c r="K22" i="20"/>
  <c r="K20" i="20" s="1"/>
  <c r="E24" i="20"/>
  <c r="F24" i="20"/>
  <c r="G24" i="20"/>
  <c r="H24" i="20"/>
  <c r="I24" i="20"/>
  <c r="J24" i="20"/>
  <c r="K24" i="20"/>
  <c r="Q25" i="20"/>
  <c r="E26" i="20"/>
  <c r="F26" i="20"/>
  <c r="G26" i="20"/>
  <c r="H26" i="20"/>
  <c r="I26" i="20"/>
  <c r="J26" i="20"/>
  <c r="K26" i="20"/>
  <c r="E28" i="20"/>
  <c r="F28" i="20"/>
  <c r="G28" i="20"/>
  <c r="H28" i="20"/>
  <c r="I28" i="20"/>
  <c r="J28" i="20"/>
  <c r="K28" i="20"/>
  <c r="Q29" i="20"/>
  <c r="E30" i="20"/>
  <c r="F30" i="20"/>
  <c r="G30" i="20"/>
  <c r="H30" i="20"/>
  <c r="J30" i="20"/>
  <c r="K30" i="20"/>
  <c r="Q31" i="20"/>
  <c r="E32" i="20"/>
  <c r="F33" i="20"/>
  <c r="F32" i="20" s="1"/>
  <c r="E34" i="20"/>
  <c r="F34" i="20"/>
  <c r="G34" i="20"/>
  <c r="H34" i="20"/>
  <c r="I34" i="20"/>
  <c r="J34" i="20"/>
  <c r="K34" i="20"/>
  <c r="Q35" i="20"/>
  <c r="E36" i="20"/>
  <c r="F36" i="20"/>
  <c r="G36" i="20"/>
  <c r="H36" i="20"/>
  <c r="I36" i="20"/>
  <c r="J36" i="20"/>
  <c r="K36" i="20"/>
  <c r="Q37" i="20"/>
  <c r="E38" i="20"/>
  <c r="F38" i="20"/>
  <c r="G38" i="20"/>
  <c r="H38" i="20"/>
  <c r="I38" i="20"/>
  <c r="J38" i="20"/>
  <c r="K38" i="20"/>
  <c r="Q39" i="20"/>
  <c r="E40" i="20"/>
  <c r="F40" i="20"/>
  <c r="G40" i="20"/>
  <c r="H40" i="20"/>
  <c r="I40" i="20"/>
  <c r="J40" i="20"/>
  <c r="E42" i="20"/>
  <c r="F42" i="20"/>
  <c r="G42" i="20"/>
  <c r="I42" i="20"/>
  <c r="K42" i="20"/>
  <c r="H43" i="20"/>
  <c r="H42" i="20" s="1"/>
  <c r="J43" i="20"/>
  <c r="J42" i="20" s="1"/>
  <c r="E45" i="20"/>
  <c r="F45" i="20" s="1"/>
  <c r="E46" i="20"/>
  <c r="F46" i="20"/>
  <c r="G46" i="20"/>
  <c r="H46" i="20"/>
  <c r="I46" i="20"/>
  <c r="J46" i="20"/>
  <c r="K46" i="20"/>
  <c r="D49" i="20"/>
  <c r="Q36" i="20" l="1"/>
  <c r="G33" i="20"/>
  <c r="G32" i="20" s="1"/>
  <c r="H33" i="20"/>
  <c r="H32" i="20" s="1"/>
  <c r="Q11" i="20"/>
  <c r="Q13" i="20" s="1"/>
  <c r="J13" i="20"/>
  <c r="E49" i="20"/>
  <c r="E51" i="20" s="1"/>
  <c r="E56" i="20" s="1"/>
  <c r="F44" i="20"/>
  <c r="F49" i="20"/>
  <c r="F51" i="20" s="1"/>
  <c r="F56" i="20" s="1"/>
  <c r="G45" i="20"/>
  <c r="H45" i="20" s="1"/>
  <c r="D51" i="20"/>
  <c r="D56" i="20" s="1"/>
  <c r="Q43" i="20"/>
  <c r="Q42" i="20" s="1"/>
  <c r="Q23" i="20"/>
  <c r="Q22" i="20" s="1"/>
  <c r="Q20" i="20" s="1"/>
  <c r="E18" i="20"/>
  <c r="Q28" i="20"/>
  <c r="Q47" i="20"/>
  <c r="Q40" i="20"/>
  <c r="Q19" i="20"/>
  <c r="Q18" i="20" s="1"/>
  <c r="G18" i="20"/>
  <c r="Q27" i="20"/>
  <c r="Q38" i="20"/>
  <c r="Q34" i="20"/>
  <c r="E44" i="20"/>
  <c r="Q46" i="20" l="1"/>
  <c r="Q26" i="20"/>
  <c r="Q24" i="20" s="1"/>
  <c r="I33" i="20"/>
  <c r="J33" i="20" s="1"/>
  <c r="K33" i="20" s="1"/>
  <c r="L33" i="20" s="1"/>
  <c r="G44" i="20"/>
  <c r="J32" i="20"/>
  <c r="H49" i="20"/>
  <c r="H51" i="20" s="1"/>
  <c r="H56" i="20" s="1"/>
  <c r="H44" i="20"/>
  <c r="I45" i="20"/>
  <c r="G49" i="20"/>
  <c r="G51" i="20" s="1"/>
  <c r="G56" i="20" s="1"/>
  <c r="K32" i="20" l="1"/>
  <c r="L32" i="20"/>
  <c r="M33" i="20"/>
  <c r="I49" i="20"/>
  <c r="I51" i="20" s="1"/>
  <c r="I56" i="20" s="1"/>
  <c r="I32" i="20"/>
  <c r="I44" i="20"/>
  <c r="J45" i="20"/>
  <c r="K45" i="20" s="1"/>
  <c r="L45" i="20" s="1"/>
  <c r="J49" i="20"/>
  <c r="J51" i="20" s="1"/>
  <c r="J56" i="20" s="1"/>
  <c r="M32" i="20" l="1"/>
  <c r="N33" i="20"/>
  <c r="L44" i="20"/>
  <c r="M45" i="20"/>
  <c r="J44" i="20"/>
  <c r="K44" i="20"/>
  <c r="K49" i="20"/>
  <c r="N32" i="20" l="1"/>
  <c r="O33" i="20"/>
  <c r="O32" i="20" s="1"/>
  <c r="N45" i="20"/>
  <c r="M44" i="20"/>
  <c r="K51" i="20"/>
  <c r="L49" i="20"/>
  <c r="L51" i="20" s="1"/>
  <c r="L56" i="20" s="1"/>
  <c r="Q33" i="20"/>
  <c r="N44" i="20" l="1"/>
  <c r="O45" i="20"/>
  <c r="O44" i="20" s="1"/>
  <c r="K56" i="20"/>
  <c r="Q32" i="20"/>
  <c r="Q30" i="20" s="1"/>
  <c r="M49" i="20"/>
  <c r="M51" i="20" s="1"/>
  <c r="M56" i="20" s="1"/>
  <c r="I30" i="20"/>
  <c r="N49" i="20" l="1"/>
  <c r="N51" i="20" s="1"/>
  <c r="N56" i="20" s="1"/>
  <c r="O49" i="20" l="1"/>
  <c r="O51" i="20" s="1"/>
  <c r="O56" i="20" s="1"/>
  <c r="Q45" i="20"/>
  <c r="Q49" i="20" l="1"/>
  <c r="Q51" i="20" s="1"/>
  <c r="Q56" i="20" s="1"/>
  <c r="Q57" i="20"/>
  <c r="Q44" i="20"/>
  <c r="N11" i="15" l="1"/>
  <c r="N12" i="15"/>
  <c r="B13" i="15"/>
  <c r="C13" i="15"/>
  <c r="C23" i="15" s="1"/>
  <c r="C24" i="15" s="1"/>
  <c r="D13" i="15"/>
  <c r="E13" i="15"/>
  <c r="F13" i="15"/>
  <c r="G13" i="15"/>
  <c r="H13" i="15"/>
  <c r="I13" i="15"/>
  <c r="J13" i="15"/>
  <c r="K13" i="15"/>
  <c r="K23" i="15" s="1"/>
  <c r="K24" i="15" s="1"/>
  <c r="L13" i="15"/>
  <c r="M13" i="15"/>
  <c r="N14" i="15"/>
  <c r="N15" i="15"/>
  <c r="N16" i="15"/>
  <c r="N18" i="15"/>
  <c r="N19" i="15"/>
  <c r="N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2" i="15"/>
  <c r="N28" i="15"/>
  <c r="N29" i="15"/>
  <c r="B30" i="15"/>
  <c r="C30" i="15"/>
  <c r="C47" i="15" s="1"/>
  <c r="D30" i="15"/>
  <c r="E30" i="15"/>
  <c r="F30" i="15"/>
  <c r="G30" i="15"/>
  <c r="H30" i="15"/>
  <c r="I30" i="15"/>
  <c r="J30" i="15"/>
  <c r="K30" i="15"/>
  <c r="L30" i="15"/>
  <c r="M30" i="15"/>
  <c r="N32" i="15"/>
  <c r="N33" i="15"/>
  <c r="N35" i="15"/>
  <c r="N36" i="15" s="1"/>
  <c r="B36" i="15"/>
  <c r="C36" i="15"/>
  <c r="D36" i="15"/>
  <c r="E36" i="15"/>
  <c r="F36" i="15"/>
  <c r="G36" i="15"/>
  <c r="H36" i="15"/>
  <c r="I36" i="15"/>
  <c r="J36" i="15"/>
  <c r="K36" i="15"/>
  <c r="L36" i="15"/>
  <c r="M36" i="15"/>
  <c r="N37" i="15"/>
  <c r="N38" i="15"/>
  <c r="N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1" i="15"/>
  <c r="N43" i="15"/>
  <c r="N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6" i="15"/>
  <c r="N50" i="15"/>
  <c r="N51" i="15" s="1"/>
  <c r="B51" i="15"/>
  <c r="C51" i="15"/>
  <c r="D51" i="15"/>
  <c r="E51" i="15"/>
  <c r="F51" i="15"/>
  <c r="G51" i="15"/>
  <c r="H51" i="15"/>
  <c r="I51" i="15"/>
  <c r="J51" i="15"/>
  <c r="K51" i="15"/>
  <c r="L51" i="15"/>
  <c r="M51" i="15"/>
  <c r="N53" i="15"/>
  <c r="N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6" i="15"/>
  <c r="N58" i="15"/>
  <c r="N59" i="15"/>
  <c r="N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3" i="15"/>
  <c r="N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9" i="15"/>
  <c r="N71" i="15" s="1"/>
  <c r="N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3" i="15"/>
  <c r="N74" i="15"/>
  <c r="N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8" i="15"/>
  <c r="N79" i="15" s="1"/>
  <c r="B79" i="15"/>
  <c r="C79" i="15"/>
  <c r="D79" i="15"/>
  <c r="E79" i="15"/>
  <c r="F79" i="15"/>
  <c r="G79" i="15"/>
  <c r="H79" i="15"/>
  <c r="I79" i="15"/>
  <c r="J79" i="15"/>
  <c r="K79" i="15"/>
  <c r="L79" i="15"/>
  <c r="M79" i="15"/>
  <c r="N81" i="15"/>
  <c r="N82" i="15"/>
  <c r="N83" i="15"/>
  <c r="N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7" i="15"/>
  <c r="N88" i="15" s="1"/>
  <c r="B88" i="15"/>
  <c r="C88" i="15"/>
  <c r="D88" i="15"/>
  <c r="E88" i="15"/>
  <c r="F88" i="15"/>
  <c r="G88" i="15"/>
  <c r="H88" i="15"/>
  <c r="I88" i="15"/>
  <c r="J88" i="15"/>
  <c r="K88" i="15"/>
  <c r="L88" i="15"/>
  <c r="M88" i="15"/>
  <c r="N89" i="15"/>
  <c r="N92" i="15"/>
  <c r="N93" i="15" s="1"/>
  <c r="B93" i="15"/>
  <c r="C93" i="15"/>
  <c r="D93" i="15"/>
  <c r="E93" i="15"/>
  <c r="F93" i="15"/>
  <c r="G93" i="15"/>
  <c r="H93" i="15"/>
  <c r="I93" i="15"/>
  <c r="J93" i="15"/>
  <c r="K93" i="15"/>
  <c r="L93" i="15"/>
  <c r="M93" i="15"/>
  <c r="N101" i="15"/>
  <c r="N102" i="15" s="1"/>
  <c r="N103" i="15" s="1"/>
  <c r="N104" i="15" s="1"/>
  <c r="B102" i="15"/>
  <c r="B103" i="15" s="1"/>
  <c r="B104" i="15" s="1"/>
  <c r="C102" i="15"/>
  <c r="C103" i="15" s="1"/>
  <c r="C104" i="15" s="1"/>
  <c r="D102" i="15"/>
  <c r="D103" i="15" s="1"/>
  <c r="D104" i="15" s="1"/>
  <c r="E102" i="15"/>
  <c r="E103" i="15" s="1"/>
  <c r="E104" i="15" s="1"/>
  <c r="F102" i="15"/>
  <c r="F103" i="15" s="1"/>
  <c r="F104" i="15" s="1"/>
  <c r="G102" i="15"/>
  <c r="G103" i="15" s="1"/>
  <c r="G104" i="15" s="1"/>
  <c r="H102" i="15"/>
  <c r="H103" i="15" s="1"/>
  <c r="H104" i="15" s="1"/>
  <c r="I102" i="15"/>
  <c r="I103" i="15" s="1"/>
  <c r="I104" i="15" s="1"/>
  <c r="J102" i="15"/>
  <c r="J103" i="15" s="1"/>
  <c r="J104" i="15" s="1"/>
  <c r="K102" i="15"/>
  <c r="K103" i="15" s="1"/>
  <c r="K104" i="15" s="1"/>
  <c r="L102" i="15"/>
  <c r="L103" i="15" s="1"/>
  <c r="L104" i="15" s="1"/>
  <c r="M102" i="15"/>
  <c r="M103" i="15" s="1"/>
  <c r="M104" i="15" s="1"/>
  <c r="O23" i="11"/>
  <c r="M49" i="11"/>
  <c r="H49" i="11"/>
  <c r="L27" i="11"/>
  <c r="F27" i="11"/>
  <c r="G27" i="11"/>
  <c r="H27" i="11"/>
  <c r="I27" i="11"/>
  <c r="J27" i="11"/>
  <c r="K27" i="11"/>
  <c r="M27" i="11"/>
  <c r="N27" i="11"/>
  <c r="O27" i="11"/>
  <c r="E27" i="11"/>
  <c r="E35" i="11"/>
  <c r="F35" i="11" s="1"/>
  <c r="Q31" i="11"/>
  <c r="M29" i="11"/>
  <c r="N29" i="11" s="1"/>
  <c r="J29" i="11"/>
  <c r="K29" i="11" s="1"/>
  <c r="L29" i="11" s="1"/>
  <c r="D27" i="11"/>
  <c r="S51" i="11"/>
  <c r="S25" i="11"/>
  <c r="S15" i="11"/>
  <c r="S9" i="11"/>
  <c r="S13" i="11" s="1"/>
  <c r="M23" i="15" l="1"/>
  <c r="M24" i="15" s="1"/>
  <c r="E23" i="15"/>
  <c r="E24" i="15" s="1"/>
  <c r="N30" i="15"/>
  <c r="N65" i="15"/>
  <c r="N45" i="15"/>
  <c r="M66" i="15"/>
  <c r="L47" i="15"/>
  <c r="N76" i="15"/>
  <c r="L66" i="15"/>
  <c r="D66" i="15"/>
  <c r="J23" i="15"/>
  <c r="J24" i="15" s="1"/>
  <c r="B23" i="15"/>
  <c r="B24" i="15" s="1"/>
  <c r="F47" i="15"/>
  <c r="J66" i="15"/>
  <c r="N61" i="15"/>
  <c r="E66" i="15"/>
  <c r="N21" i="15"/>
  <c r="D47" i="15"/>
  <c r="I23" i="15"/>
  <c r="H90" i="15"/>
  <c r="F90" i="15"/>
  <c r="K47" i="15"/>
  <c r="F23" i="15"/>
  <c r="H23" i="15"/>
  <c r="J90" i="15"/>
  <c r="B90" i="15"/>
  <c r="G23" i="15"/>
  <c r="B66" i="15"/>
  <c r="H66" i="15"/>
  <c r="H47" i="15"/>
  <c r="I66" i="15"/>
  <c r="N55" i="15"/>
  <c r="G66" i="15"/>
  <c r="N40" i="15"/>
  <c r="G47" i="15"/>
  <c r="G94" i="15" s="1"/>
  <c r="D90" i="15"/>
  <c r="J47" i="15"/>
  <c r="B47" i="15"/>
  <c r="L23" i="15"/>
  <c r="D23" i="15"/>
  <c r="K90" i="15"/>
  <c r="C90" i="15"/>
  <c r="L90" i="15"/>
  <c r="K66" i="15"/>
  <c r="C66" i="15"/>
  <c r="C94" i="15" s="1"/>
  <c r="I47" i="15"/>
  <c r="I90" i="15"/>
  <c r="G90" i="15"/>
  <c r="M90" i="15"/>
  <c r="N85" i="15"/>
  <c r="E90" i="15"/>
  <c r="F66" i="15"/>
  <c r="M47" i="15"/>
  <c r="M94" i="15" s="1"/>
  <c r="E47" i="15"/>
  <c r="N13" i="15"/>
  <c r="S53" i="11"/>
  <c r="L49" i="11"/>
  <c r="H94" i="15" l="1"/>
  <c r="L94" i="15"/>
  <c r="F94" i="15"/>
  <c r="F96" i="15" s="1"/>
  <c r="F107" i="15" s="1"/>
  <c r="N47" i="15"/>
  <c r="N66" i="15"/>
  <c r="J94" i="15"/>
  <c r="J96" i="15" s="1"/>
  <c r="J107" i="15" s="1"/>
  <c r="K94" i="15"/>
  <c r="K96" i="15" s="1"/>
  <c r="K107" i="15" s="1"/>
  <c r="N90" i="15"/>
  <c r="D94" i="15"/>
  <c r="H24" i="15"/>
  <c r="H96" i="15"/>
  <c r="H107" i="15" s="1"/>
  <c r="C96" i="15"/>
  <c r="C107" i="15" s="1"/>
  <c r="M96" i="15"/>
  <c r="M107" i="15" s="1"/>
  <c r="F24" i="15"/>
  <c r="N23" i="15"/>
  <c r="E94" i="15"/>
  <c r="D24" i="15"/>
  <c r="L24" i="15"/>
  <c r="L96" i="15"/>
  <c r="G24" i="15"/>
  <c r="G96" i="15"/>
  <c r="G107" i="15" s="1"/>
  <c r="I94" i="15"/>
  <c r="I96" i="15" s="1"/>
  <c r="B94" i="15"/>
  <c r="I24" i="15"/>
  <c r="K48" i="11"/>
  <c r="E48" i="11"/>
  <c r="F48" i="11"/>
  <c r="D48" i="11"/>
  <c r="K44" i="11"/>
  <c r="O48" i="11"/>
  <c r="N48" i="11"/>
  <c r="M48" i="11"/>
  <c r="L48" i="11"/>
  <c r="J48" i="11"/>
  <c r="I48" i="11"/>
  <c r="H48" i="11"/>
  <c r="G48" i="11"/>
  <c r="E47" i="11"/>
  <c r="D46" i="11"/>
  <c r="N94" i="15" l="1"/>
  <c r="N96" i="15" s="1"/>
  <c r="N107" i="15" s="1"/>
  <c r="L107" i="15"/>
  <c r="D96" i="15"/>
  <c r="D107" i="15" s="1"/>
  <c r="B96" i="15"/>
  <c r="B107" i="15" s="1"/>
  <c r="I107" i="15"/>
  <c r="E96" i="15"/>
  <c r="E107" i="15" s="1"/>
  <c r="N24" i="15"/>
  <c r="E46" i="11"/>
  <c r="F47" i="11"/>
  <c r="G47" i="11" l="1"/>
  <c r="F46" i="11"/>
  <c r="H47" i="11" l="1"/>
  <c r="G46" i="11"/>
  <c r="H46" i="11" l="1"/>
  <c r="I47" i="11"/>
  <c r="I46" i="11" l="1"/>
  <c r="J47" i="11"/>
  <c r="J46" i="11" l="1"/>
  <c r="K47" i="11"/>
  <c r="L47" i="11" l="1"/>
  <c r="K46" i="11"/>
  <c r="M47" i="11" l="1"/>
  <c r="L46" i="11"/>
  <c r="N47" i="11" l="1"/>
  <c r="M46" i="11"/>
  <c r="N46" i="11" l="1"/>
  <c r="O47" i="11"/>
  <c r="O46" i="11" l="1"/>
  <c r="Q47" i="11"/>
  <c r="F19" i="11" l="1"/>
  <c r="G19" i="11"/>
  <c r="H19" i="11"/>
  <c r="I19" i="11"/>
  <c r="J19" i="11"/>
  <c r="K19" i="11"/>
  <c r="L19" i="11"/>
  <c r="M19" i="11"/>
  <c r="N19" i="11"/>
  <c r="O19" i="11"/>
  <c r="E19" i="11"/>
  <c r="J23" i="11"/>
  <c r="O21" i="11"/>
  <c r="N21" i="11"/>
  <c r="G23" i="11"/>
  <c r="F21" i="11"/>
  <c r="F23" i="11" s="1"/>
  <c r="E21" i="11"/>
  <c r="D21" i="11"/>
  <c r="D23" i="11" s="1"/>
  <c r="D51" i="11" s="1"/>
  <c r="Q19" i="11" l="1"/>
  <c r="Q15" i="11" l="1"/>
  <c r="I10" i="12" l="1"/>
  <c r="I11" i="12"/>
  <c r="B12" i="12"/>
  <c r="B20" i="12" s="1"/>
  <c r="B21" i="12" s="1"/>
  <c r="C12" i="12"/>
  <c r="C20" i="12" s="1"/>
  <c r="C21" i="12" s="1"/>
  <c r="D12" i="12"/>
  <c r="E12" i="12"/>
  <c r="F12" i="12"/>
  <c r="G12" i="12"/>
  <c r="G20" i="12" s="1"/>
  <c r="G21" i="12" s="1"/>
  <c r="H12" i="12"/>
  <c r="H20" i="12" s="1"/>
  <c r="H21" i="12" s="1"/>
  <c r="I12" i="12"/>
  <c r="I20" i="12" s="1"/>
  <c r="I21" i="12" s="1"/>
  <c r="I13" i="12"/>
  <c r="I14" i="12"/>
  <c r="I15" i="12"/>
  <c r="I17" i="12"/>
  <c r="I18" i="12"/>
  <c r="I19" i="12" s="1"/>
  <c r="B19" i="12"/>
  <c r="C19" i="12"/>
  <c r="D19" i="12"/>
  <c r="E19" i="12"/>
  <c r="F19" i="12"/>
  <c r="G19" i="12"/>
  <c r="H19" i="12"/>
  <c r="D20" i="12"/>
  <c r="D21" i="12" s="1"/>
  <c r="E20" i="12"/>
  <c r="F20" i="12"/>
  <c r="E21" i="12"/>
  <c r="E75" i="12" s="1"/>
  <c r="E88" i="12" s="1"/>
  <c r="F21" i="12"/>
  <c r="I25" i="12"/>
  <c r="I27" i="12" s="1"/>
  <c r="I41" i="12" s="1"/>
  <c r="I26" i="12"/>
  <c r="B27" i="12"/>
  <c r="B41" i="12" s="1"/>
  <c r="C27" i="12"/>
  <c r="C41" i="12" s="1"/>
  <c r="D27" i="12"/>
  <c r="E27" i="12"/>
  <c r="F27" i="12"/>
  <c r="G27" i="12"/>
  <c r="G41" i="12" s="1"/>
  <c r="G74" i="12" s="1"/>
  <c r="H27" i="12"/>
  <c r="H41" i="12" s="1"/>
  <c r="H74" i="12" s="1"/>
  <c r="I29" i="12"/>
  <c r="I37" i="12" s="1"/>
  <c r="I30" i="12"/>
  <c r="I32" i="12"/>
  <c r="B33" i="12"/>
  <c r="C33" i="12"/>
  <c r="D33" i="12"/>
  <c r="E33" i="12"/>
  <c r="F33" i="12"/>
  <c r="G33" i="12"/>
  <c r="G37" i="12" s="1"/>
  <c r="H33" i="12"/>
  <c r="H37" i="12" s="1"/>
  <c r="I33" i="12"/>
  <c r="I34" i="12"/>
  <c r="I35" i="12"/>
  <c r="I36" i="12"/>
  <c r="B37" i="12"/>
  <c r="C37" i="12"/>
  <c r="D37" i="12"/>
  <c r="E37" i="12"/>
  <c r="E41" i="12" s="1"/>
  <c r="E74" i="12" s="1"/>
  <c r="F37" i="12"/>
  <c r="F41" i="12" s="1"/>
  <c r="I39" i="12"/>
  <c r="B40" i="12"/>
  <c r="C40" i="12"/>
  <c r="D40" i="12"/>
  <c r="E40" i="12"/>
  <c r="F40" i="12"/>
  <c r="G40" i="12"/>
  <c r="H40" i="12"/>
  <c r="I40" i="12"/>
  <c r="D41" i="12"/>
  <c r="D74" i="12" s="1"/>
  <c r="I44" i="12"/>
  <c r="B45" i="12"/>
  <c r="B59" i="12" s="1"/>
  <c r="C45" i="12"/>
  <c r="C59" i="12" s="1"/>
  <c r="D45" i="12"/>
  <c r="E45" i="12"/>
  <c r="F45" i="12"/>
  <c r="G45" i="12"/>
  <c r="G59" i="12" s="1"/>
  <c r="H45" i="12"/>
  <c r="H59" i="12" s="1"/>
  <c r="I45" i="12"/>
  <c r="I47" i="12"/>
  <c r="I48" i="12"/>
  <c r="B49" i="12"/>
  <c r="C49" i="12"/>
  <c r="D49" i="12"/>
  <c r="E49" i="12"/>
  <c r="F49" i="12"/>
  <c r="F59" i="12" s="1"/>
  <c r="G49" i="12"/>
  <c r="H49" i="12"/>
  <c r="I49" i="12"/>
  <c r="I59" i="12" s="1"/>
  <c r="I50" i="12"/>
  <c r="I52" i="12"/>
  <c r="I53" i="12"/>
  <c r="B54" i="12"/>
  <c r="C54" i="12"/>
  <c r="D54" i="12"/>
  <c r="E54" i="12"/>
  <c r="F54" i="12"/>
  <c r="G54" i="12"/>
  <c r="H54" i="12"/>
  <c r="I54" i="12"/>
  <c r="I56" i="12"/>
  <c r="I57" i="12"/>
  <c r="I58" i="12" s="1"/>
  <c r="B58" i="12"/>
  <c r="C58" i="12"/>
  <c r="D58" i="12"/>
  <c r="E58" i="12"/>
  <c r="F58" i="12"/>
  <c r="G58" i="12"/>
  <c r="H58" i="12"/>
  <c r="D59" i="12"/>
  <c r="E59" i="12"/>
  <c r="I62" i="12"/>
  <c r="B63" i="12"/>
  <c r="C63" i="12"/>
  <c r="C70" i="12" s="1"/>
  <c r="D63" i="12"/>
  <c r="D70" i="12" s="1"/>
  <c r="E63" i="12"/>
  <c r="F63" i="12"/>
  <c r="G63" i="12"/>
  <c r="H63" i="12"/>
  <c r="I63" i="12"/>
  <c r="I65" i="12"/>
  <c r="B66" i="12"/>
  <c r="B70" i="12" s="1"/>
  <c r="C66" i="12"/>
  <c r="D66" i="12"/>
  <c r="E66" i="12"/>
  <c r="F66" i="12"/>
  <c r="G66" i="12"/>
  <c r="G70" i="12" s="1"/>
  <c r="H66" i="12"/>
  <c r="I66" i="12"/>
  <c r="I68" i="12"/>
  <c r="B69" i="12"/>
  <c r="C69" i="12"/>
  <c r="D69" i="12"/>
  <c r="E69" i="12"/>
  <c r="F69" i="12"/>
  <c r="G69" i="12"/>
  <c r="H69" i="12"/>
  <c r="I69" i="12"/>
  <c r="E70" i="12"/>
  <c r="F70" i="12"/>
  <c r="H70" i="12"/>
  <c r="I70" i="12"/>
  <c r="I72" i="12"/>
  <c r="B73" i="12"/>
  <c r="C73" i="12"/>
  <c r="D73" i="12"/>
  <c r="E73" i="12"/>
  <c r="F73" i="12"/>
  <c r="G73" i="12"/>
  <c r="H73" i="12"/>
  <c r="I73" i="12"/>
  <c r="I79" i="12"/>
  <c r="B80" i="12"/>
  <c r="C80" i="12"/>
  <c r="C81" i="12" s="1"/>
  <c r="C87" i="12" s="1"/>
  <c r="D80" i="12"/>
  <c r="E80" i="12"/>
  <c r="F80" i="12"/>
  <c r="G80" i="12"/>
  <c r="G81" i="12" s="1"/>
  <c r="G87" i="12" s="1"/>
  <c r="H80" i="12"/>
  <c r="I80" i="12"/>
  <c r="B81" i="12"/>
  <c r="D81" i="12"/>
  <c r="E81" i="12"/>
  <c r="F81" i="12"/>
  <c r="H81" i="12"/>
  <c r="H87" i="12" s="1"/>
  <c r="I81" i="12"/>
  <c r="I84" i="12"/>
  <c r="B85" i="12"/>
  <c r="B86" i="12" s="1"/>
  <c r="B87" i="12" s="1"/>
  <c r="C85" i="12"/>
  <c r="D85" i="12"/>
  <c r="E85" i="12"/>
  <c r="F85" i="12"/>
  <c r="F86" i="12" s="1"/>
  <c r="F87" i="12" s="1"/>
  <c r="G85" i="12"/>
  <c r="H85" i="12"/>
  <c r="I85" i="12"/>
  <c r="C86" i="12"/>
  <c r="D86" i="12"/>
  <c r="E86" i="12"/>
  <c r="E87" i="12" s="1"/>
  <c r="G86" i="12"/>
  <c r="H86" i="12"/>
  <c r="I86" i="12"/>
  <c r="D87" i="12"/>
  <c r="I87" i="12"/>
  <c r="Q4" i="11"/>
  <c r="D3" i="11"/>
  <c r="C2" i="11"/>
  <c r="I74" i="12" l="1"/>
  <c r="I75" i="12" s="1"/>
  <c r="I88" i="12" s="1"/>
  <c r="G75" i="12"/>
  <c r="G88" i="12" s="1"/>
  <c r="F74" i="12"/>
  <c r="F75" i="12" s="1"/>
  <c r="F88" i="12" s="1"/>
  <c r="B74" i="12"/>
  <c r="B75" i="12"/>
  <c r="B88" i="12" s="1"/>
  <c r="H75" i="12"/>
  <c r="H88" i="12" s="1"/>
  <c r="C74" i="12"/>
  <c r="C75" i="12" s="1"/>
  <c r="C88" i="12" s="1"/>
  <c r="D75" i="12"/>
  <c r="D88" i="12" s="1"/>
  <c r="J45" i="11"/>
  <c r="H45" i="11"/>
  <c r="O44" i="11"/>
  <c r="N44" i="11"/>
  <c r="M44" i="11"/>
  <c r="L44" i="11"/>
  <c r="I44" i="11"/>
  <c r="G44" i="11"/>
  <c r="F44" i="11"/>
  <c r="E44" i="11"/>
  <c r="D44" i="11"/>
  <c r="Q41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Q43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Q39" i="11"/>
  <c r="U39" i="11" s="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Q37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Q35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E33" i="11"/>
  <c r="E51" i="11" s="1"/>
  <c r="D32" i="11"/>
  <c r="U31" i="11"/>
  <c r="O30" i="11"/>
  <c r="N30" i="11"/>
  <c r="M30" i="11"/>
  <c r="L30" i="11"/>
  <c r="K30" i="11"/>
  <c r="J30" i="11"/>
  <c r="H30" i="11"/>
  <c r="G30" i="11"/>
  <c r="F30" i="11"/>
  <c r="E30" i="11"/>
  <c r="D30" i="11"/>
  <c r="Q29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Q27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Q25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Q23" i="11"/>
  <c r="O22" i="11"/>
  <c r="O20" i="11" s="1"/>
  <c r="N22" i="11"/>
  <c r="N20" i="11" s="1"/>
  <c r="M22" i="11"/>
  <c r="M20" i="11" s="1"/>
  <c r="L22" i="11"/>
  <c r="L20" i="11" s="1"/>
  <c r="K22" i="11"/>
  <c r="K20" i="11" s="1"/>
  <c r="J22" i="11"/>
  <c r="J20" i="11" s="1"/>
  <c r="I22" i="11"/>
  <c r="I20" i="11" s="1"/>
  <c r="H22" i="11"/>
  <c r="H20" i="11" s="1"/>
  <c r="G22" i="11"/>
  <c r="G20" i="11" s="1"/>
  <c r="F22" i="11"/>
  <c r="F20" i="11" s="1"/>
  <c r="E22" i="11"/>
  <c r="E20" i="11" s="1"/>
  <c r="D22" i="11"/>
  <c r="Q21" i="11"/>
  <c r="D20" i="11"/>
  <c r="M18" i="11"/>
  <c r="L18" i="11"/>
  <c r="K18" i="11"/>
  <c r="J18" i="11"/>
  <c r="I18" i="11"/>
  <c r="H18" i="11"/>
  <c r="G18" i="11"/>
  <c r="F18" i="11"/>
  <c r="E18" i="11"/>
  <c r="O18" i="11"/>
  <c r="D18" i="11"/>
  <c r="O13" i="11"/>
  <c r="N13" i="11"/>
  <c r="M13" i="11"/>
  <c r="L13" i="11"/>
  <c r="K13" i="11"/>
  <c r="G13" i="11"/>
  <c r="F13" i="11"/>
  <c r="E13" i="11"/>
  <c r="D13" i="11"/>
  <c r="J11" i="11"/>
  <c r="J13" i="11" s="1"/>
  <c r="I11" i="11"/>
  <c r="I13" i="11" s="1"/>
  <c r="H11" i="11"/>
  <c r="Q10" i="11"/>
  <c r="U10" i="11" s="1"/>
  <c r="Q9" i="11"/>
  <c r="U9" i="11" s="1"/>
  <c r="Q8" i="11"/>
  <c r="U8" i="11" s="1"/>
  <c r="Q7" i="11"/>
  <c r="U23" i="11" l="1"/>
  <c r="U37" i="11"/>
  <c r="U41" i="11"/>
  <c r="U27" i="11"/>
  <c r="H44" i="11"/>
  <c r="U35" i="11"/>
  <c r="U43" i="11"/>
  <c r="J44" i="11"/>
  <c r="U25" i="11"/>
  <c r="Q46" i="11"/>
  <c r="U29" i="11"/>
  <c r="Q22" i="11"/>
  <c r="Q20" i="11" s="1"/>
  <c r="Q11" i="11"/>
  <c r="U11" i="11" s="1"/>
  <c r="Q28" i="11"/>
  <c r="N18" i="11"/>
  <c r="Q40" i="11"/>
  <c r="U21" i="11"/>
  <c r="Q45" i="11"/>
  <c r="U19" i="11"/>
  <c r="Q42" i="11"/>
  <c r="H13" i="11"/>
  <c r="F33" i="11"/>
  <c r="F51" i="11" s="1"/>
  <c r="Q34" i="11"/>
  <c r="Q38" i="11"/>
  <c r="Q49" i="11"/>
  <c r="U7" i="11"/>
  <c r="Q26" i="11"/>
  <c r="Q24" i="11" s="1"/>
  <c r="E53" i="11"/>
  <c r="E32" i="11"/>
  <c r="Q36" i="11"/>
  <c r="Y19" i="11"/>
  <c r="U13" i="11" l="1"/>
  <c r="U45" i="11"/>
  <c r="Q48" i="11"/>
  <c r="Q13" i="11"/>
  <c r="Q44" i="11"/>
  <c r="Q18" i="11"/>
  <c r="F32" i="11"/>
  <c r="F53" i="11"/>
  <c r="G33" i="11"/>
  <c r="G51" i="11" s="1"/>
  <c r="D53" i="11"/>
  <c r="E55" i="11" s="1"/>
  <c r="U49" i="11"/>
  <c r="G32" i="11" l="1"/>
  <c r="H33" i="11"/>
  <c r="H51" i="11" s="1"/>
  <c r="F55" i="11"/>
  <c r="I33" i="11" l="1"/>
  <c r="I51" i="11" s="1"/>
  <c r="H32" i="11"/>
  <c r="H53" i="11"/>
  <c r="G53" i="11"/>
  <c r="G55" i="11" s="1"/>
  <c r="H55" i="11" l="1"/>
  <c r="J33" i="11"/>
  <c r="J51" i="11" s="1"/>
  <c r="I32" i="11"/>
  <c r="I53" i="11"/>
  <c r="I55" i="11" l="1"/>
  <c r="K33" i="11"/>
  <c r="K51" i="11" s="1"/>
  <c r="J32" i="11"/>
  <c r="J53" i="11" l="1"/>
  <c r="J55" i="11" s="1"/>
  <c r="J52" i="11"/>
  <c r="L33" i="11"/>
  <c r="L51" i="11" s="1"/>
  <c r="K32" i="11"/>
  <c r="K53" i="11"/>
  <c r="K55" i="11" l="1"/>
  <c r="L32" i="11"/>
  <c r="L53" i="11"/>
  <c r="M33" i="11"/>
  <c r="M51" i="11" s="1"/>
  <c r="N33" i="11" l="1"/>
  <c r="N51" i="11" s="1"/>
  <c r="M53" i="11"/>
  <c r="L55" i="11"/>
  <c r="M32" i="11"/>
  <c r="N53" i="11" l="1"/>
  <c r="O33" i="11"/>
  <c r="O51" i="11" s="1"/>
  <c r="N32" i="11"/>
  <c r="Y33" i="11"/>
  <c r="M55" i="11"/>
  <c r="N55" i="11" s="1"/>
  <c r="O53" i="11" l="1"/>
  <c r="O55" i="11" s="1"/>
  <c r="O32" i="11"/>
  <c r="I30" i="11"/>
  <c r="Q33" i="11"/>
  <c r="Q51" i="11" s="1"/>
  <c r="Q53" i="11" l="1"/>
  <c r="U33" i="11"/>
  <c r="Q32" i="11"/>
  <c r="Q30" i="11" s="1"/>
  <c r="G57" i="20" l="1"/>
  <c r="N57" i="20"/>
  <c r="K57" i="20"/>
  <c r="J57" i="20"/>
  <c r="F57" i="20"/>
  <c r="I57" i="20"/>
  <c r="M57" i="20"/>
  <c r="L57" i="20"/>
  <c r="E57" i="20"/>
  <c r="H57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 Liu</author>
  </authors>
  <commentList>
    <comment ref="A4" authorId="0" shapeId="0" xr:uid="{4C13C083-D959-45C5-9C54-DCC9F3BFC7F8}">
      <text>
        <r>
          <rPr>
            <b/>
            <sz val="18"/>
            <color indexed="81"/>
            <rFont val="Tahoma"/>
            <family val="2"/>
          </rPr>
          <t xml:space="preserve">James,
Please change to your name and update the date every month
</t>
        </r>
      </text>
    </comment>
    <comment ref="J21" authorId="0" shapeId="0" xr:uid="{5B02D19A-F3D3-4A63-B3AB-56DF3FFAA678}">
      <text>
        <r>
          <rPr>
            <b/>
            <sz val="18"/>
            <color indexed="81"/>
            <rFont val="Tahoma"/>
            <family val="2"/>
          </rPr>
          <t xml:space="preserve">3 Payrolls </t>
        </r>
      </text>
    </comment>
    <comment ref="O21" authorId="0" shapeId="0" xr:uid="{87D265D0-4C7F-4661-A70C-CF66F81CCE13}">
      <text>
        <r>
          <rPr>
            <b/>
            <sz val="18"/>
            <color indexed="81"/>
            <rFont val="Tahoma"/>
            <family val="2"/>
          </rPr>
          <t xml:space="preserve">3 Payrolls </t>
        </r>
      </text>
    </comment>
    <comment ref="F27" authorId="0" shapeId="0" xr:uid="{8C487B51-BEC9-457B-96D0-0C106321FEEA}">
      <text>
        <r>
          <rPr>
            <b/>
            <sz val="16"/>
            <color indexed="81"/>
            <rFont val="Tahoma"/>
            <family val="2"/>
          </rPr>
          <t>Lili Liu:</t>
        </r>
        <r>
          <rPr>
            <sz val="16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 Liu</author>
  </authors>
  <commentList>
    <comment ref="A39" authorId="0" shapeId="0" xr:uid="{C77B0D3F-9B58-437F-B1D4-14E94EF5A2A3}">
      <text>
        <r>
          <rPr>
            <b/>
            <sz val="18"/>
            <color indexed="81"/>
            <rFont val="Tahoma"/>
            <family val="2"/>
          </rPr>
          <t>09/2021 for 2022 Budget: 
(1) This is not an actual expense account; (2) This is your budget Net Surplus, if any
(3) In NS, you won't find this line item. Look at your net Surplus, if any, instead.</t>
        </r>
      </text>
    </comment>
  </commentList>
</comments>
</file>

<file path=xl/sharedStrings.xml><?xml version="1.0" encoding="utf-8"?>
<sst xmlns="http://schemas.openxmlformats.org/spreadsheetml/2006/main" count="472" uniqueCount="205">
  <si>
    <t>Bk'd G/L</t>
  </si>
  <si>
    <t>Budget</t>
  </si>
  <si>
    <t>Projection</t>
  </si>
  <si>
    <t xml:space="preserve"> </t>
  </si>
  <si>
    <t>REVENUE</t>
  </si>
  <si>
    <t xml:space="preserve">JAN             </t>
  </si>
  <si>
    <t xml:space="preserve">FEB            </t>
  </si>
  <si>
    <t>MAR</t>
  </si>
  <si>
    <t xml:space="preserve">APR                    </t>
  </si>
  <si>
    <t>MAY</t>
  </si>
  <si>
    <t>JUNE</t>
  </si>
  <si>
    <t>JULY</t>
  </si>
  <si>
    <t>AUG</t>
  </si>
  <si>
    <t>SEP</t>
  </si>
  <si>
    <t>OCT</t>
  </si>
  <si>
    <t>NOV</t>
  </si>
  <si>
    <t>DEC</t>
  </si>
  <si>
    <t>Over/Under Budget</t>
  </si>
  <si>
    <t>TOTAL REVENUE</t>
  </si>
  <si>
    <t>EXPENSES</t>
  </si>
  <si>
    <t>Expense  Total</t>
  </si>
  <si>
    <t>TOTAL EXPENSES</t>
  </si>
  <si>
    <t>NET SURPLUS &lt;DEFICIT&gt;</t>
  </si>
  <si>
    <t>Cumulative Surplus &lt;Deficit&gt;</t>
  </si>
  <si>
    <t xml:space="preserve">JAN </t>
  </si>
  <si>
    <t xml:space="preserve">FEB </t>
  </si>
  <si>
    <t xml:space="preserve">MAR </t>
  </si>
  <si>
    <t>APRIL</t>
  </si>
  <si>
    <t>REVENUE &amp; EXPENSE PROJECTIONS</t>
  </si>
  <si>
    <t>Recap</t>
  </si>
  <si>
    <t>Preliminary</t>
  </si>
  <si>
    <t xml:space="preserve">Projected  Expense </t>
  </si>
  <si>
    <t xml:space="preserve">Projected  Revenue </t>
  </si>
  <si>
    <t>Tall Oaks</t>
  </si>
  <si>
    <t>Updated Projections for</t>
  </si>
  <si>
    <t>Based on YTD Actual Revenue &amp; Expenses</t>
  </si>
  <si>
    <r>
      <t xml:space="preserve">  Payroll -</t>
    </r>
    <r>
      <rPr>
        <i/>
        <sz val="20"/>
        <color rgb="FF000000"/>
        <rFont val="Arial"/>
        <family val="2"/>
      </rPr>
      <t xml:space="preserve"> 5100</t>
    </r>
  </si>
  <si>
    <r>
      <t xml:space="preserve">  Food - </t>
    </r>
    <r>
      <rPr>
        <i/>
        <sz val="20"/>
        <color rgb="FF000000"/>
        <rFont val="Arial"/>
        <family val="2"/>
      </rPr>
      <t>6210</t>
    </r>
  </si>
  <si>
    <r>
      <t xml:space="preserve">  Food Related - </t>
    </r>
    <r>
      <rPr>
        <i/>
        <sz val="20"/>
        <color rgb="FF000000"/>
        <rFont val="Arial"/>
        <family val="2"/>
      </rPr>
      <t>6220</t>
    </r>
  </si>
  <si>
    <r>
      <t xml:space="preserve">  Utilities - </t>
    </r>
    <r>
      <rPr>
        <i/>
        <sz val="20"/>
        <color rgb="FF000000"/>
        <rFont val="Arial"/>
        <family val="2"/>
      </rPr>
      <t>6300</t>
    </r>
  </si>
  <si>
    <r>
      <t xml:space="preserve">  Fire\Liability Insurance - </t>
    </r>
    <r>
      <rPr>
        <i/>
        <sz val="20"/>
        <color rgb="FF000000"/>
        <rFont val="Arial"/>
        <family val="2"/>
      </rPr>
      <t>6410</t>
    </r>
  </si>
  <si>
    <r>
      <t xml:space="preserve">  Maintenance Services - </t>
    </r>
    <r>
      <rPr>
        <i/>
        <sz val="20"/>
        <color rgb="FF000000"/>
        <rFont val="Arial"/>
        <family val="2"/>
      </rPr>
      <t>6510</t>
    </r>
  </si>
  <si>
    <r>
      <t xml:space="preserve">  Maintenance Repair/Supply - </t>
    </r>
    <r>
      <rPr>
        <i/>
        <sz val="20"/>
        <color rgb="FF000000"/>
        <rFont val="Arial"/>
        <family val="2"/>
      </rPr>
      <t>6520</t>
    </r>
  </si>
  <si>
    <r>
      <t>Travel/</t>
    </r>
    <r>
      <rPr>
        <b/>
        <sz val="20"/>
        <color indexed="8"/>
        <rFont val="Arial"/>
        <family val="2"/>
      </rPr>
      <t xml:space="preserve">Transportation - </t>
    </r>
    <r>
      <rPr>
        <i/>
        <sz val="20"/>
        <color rgb="FF000000"/>
        <rFont val="Arial"/>
        <family val="2"/>
      </rPr>
      <t>7200</t>
    </r>
  </si>
  <si>
    <r>
      <t xml:space="preserve">Office Supplies - </t>
    </r>
    <r>
      <rPr>
        <i/>
        <sz val="20"/>
        <color rgb="FF000000"/>
        <rFont val="Arial"/>
        <family val="2"/>
      </rPr>
      <t>7800</t>
    </r>
  </si>
  <si>
    <r>
      <t xml:space="preserve">Dues\Taxes\Assesmnts- </t>
    </r>
    <r>
      <rPr>
        <i/>
        <sz val="20"/>
        <color rgb="FF000000"/>
        <rFont val="Arial"/>
        <family val="2"/>
      </rPr>
      <t>7400</t>
    </r>
  </si>
  <si>
    <t xml:space="preserve">Computer Hardware/Software - 7840 </t>
  </si>
  <si>
    <t xml:space="preserve">Misc Office Expense - 7900 </t>
  </si>
  <si>
    <r>
      <t xml:space="preserve">  Employee Benefits - </t>
    </r>
    <r>
      <rPr>
        <i/>
        <sz val="20"/>
        <color rgb="FF000000"/>
        <rFont val="Arial"/>
        <family val="2"/>
      </rPr>
      <t>5200</t>
    </r>
  </si>
  <si>
    <r>
      <t xml:space="preserve">  Staff Training  and Apprec. - </t>
    </r>
    <r>
      <rPr>
        <i/>
        <sz val="20"/>
        <color rgb="FF000000"/>
        <rFont val="Arial"/>
        <family val="2"/>
      </rPr>
      <t>5400</t>
    </r>
  </si>
  <si>
    <t>Major Maintenance Reserve - N/A</t>
  </si>
  <si>
    <r>
      <t xml:space="preserve">  Food - </t>
    </r>
    <r>
      <rPr>
        <i/>
        <sz val="20"/>
        <color rgb="FF000000"/>
        <rFont val="Arial"/>
        <family val="2"/>
      </rPr>
      <t>4200</t>
    </r>
  </si>
  <si>
    <r>
      <t xml:space="preserve">  Lodging - </t>
    </r>
    <r>
      <rPr>
        <i/>
        <sz val="20"/>
        <color rgb="FF000000"/>
        <rFont val="Arial"/>
        <family val="2"/>
      </rPr>
      <t>4300</t>
    </r>
  </si>
  <si>
    <r>
      <rPr>
        <b/>
        <sz val="20"/>
        <color rgb="FF000000"/>
        <rFont val="Arial"/>
        <family val="2"/>
      </rPr>
      <t xml:space="preserve">  Miscellaneous</t>
    </r>
    <r>
      <rPr>
        <sz val="20"/>
        <color indexed="8"/>
        <rFont val="Arial"/>
        <family val="2"/>
      </rPr>
      <t xml:space="preserve"> Income - 4700 </t>
    </r>
  </si>
  <si>
    <r>
      <t xml:space="preserve">  </t>
    </r>
    <r>
      <rPr>
        <b/>
        <sz val="20"/>
        <color rgb="FF000000"/>
        <rFont val="Arial"/>
        <family val="2"/>
      </rPr>
      <t>5% Onwer Rebate</t>
    </r>
    <r>
      <rPr>
        <sz val="20"/>
        <color indexed="8"/>
        <rFont val="Arial"/>
        <family val="2"/>
      </rPr>
      <t xml:space="preserve"> - 4805</t>
    </r>
  </si>
  <si>
    <t xml:space="preserve">  Administration Fees - 6100</t>
  </si>
  <si>
    <t>Net Income</t>
  </si>
  <si>
    <t>Net Other Income</t>
  </si>
  <si>
    <t>Total - Other Expense</t>
  </si>
  <si>
    <t>Total - 9500 - Project - Facility Related</t>
  </si>
  <si>
    <t>9510 - Proj:Equipment &amp; Software</t>
  </si>
  <si>
    <t>9500 - Project - Facility Related</t>
  </si>
  <si>
    <t>Other Expense</t>
  </si>
  <si>
    <t>Total - Other Income</t>
  </si>
  <si>
    <t>Total - 9000 - Other Income</t>
  </si>
  <si>
    <t>9020 - Owner Grants for Projects</t>
  </si>
  <si>
    <t>9000 - Other Income</t>
  </si>
  <si>
    <t>Other Income</t>
  </si>
  <si>
    <t>Other Income and Expenses</t>
  </si>
  <si>
    <t>Net Ordinary Income</t>
  </si>
  <si>
    <t>Total - Expense</t>
  </si>
  <si>
    <t>Total - 8000 - Other Expense</t>
  </si>
  <si>
    <t>8600 - Miscellaneous expense</t>
  </si>
  <si>
    <t>8000 - Other Expense</t>
  </si>
  <si>
    <t>Total - 7000 - Office &amp; Operational Expense</t>
  </si>
  <si>
    <t>Total - 7800 - Professional Services Expense</t>
  </si>
  <si>
    <t>7840 - Computer Hardware/Software</t>
  </si>
  <si>
    <t>7800 - Professional Services Expense</t>
  </si>
  <si>
    <t>Total - 7200 - Travel</t>
  </si>
  <si>
    <t>7220 - Transportation-Sites</t>
  </si>
  <si>
    <t>7200 - Travel</t>
  </si>
  <si>
    <t>Total - 7100 - Supplies</t>
  </si>
  <si>
    <t>7110 - Office Supplies</t>
  </si>
  <si>
    <t>7100 - Supplies</t>
  </si>
  <si>
    <t>7000 - Office &amp; Operational Expense</t>
  </si>
  <si>
    <t>Total - 6000 - Site Expense</t>
  </si>
  <si>
    <t>Total - 6500 - Facility Maintenance and Equipment</t>
  </si>
  <si>
    <t>6520 - Maintenance Repairs/Supplies</t>
  </si>
  <si>
    <t>6510 - Maintenance Services</t>
  </si>
  <si>
    <t>6500 - Facility Maintenance and Equipment</t>
  </si>
  <si>
    <t>Total - 6400 - Insurance</t>
  </si>
  <si>
    <t>6420 - Property Insurance</t>
  </si>
  <si>
    <t>6410 - Liability Insurance</t>
  </si>
  <si>
    <t>6400 - Insurance</t>
  </si>
  <si>
    <t>6300 - Utility Expense</t>
  </si>
  <si>
    <t>Total - 6200 - Food &amp; Food Related</t>
  </si>
  <si>
    <t>6220 - Food Related</t>
  </si>
  <si>
    <t>6210 - Food</t>
  </si>
  <si>
    <t>6200 - Food &amp; Food Related</t>
  </si>
  <si>
    <t>Total - 6100 - Coop Services &amp; Fees</t>
  </si>
  <si>
    <t>6110 - Cooperative Fee</t>
  </si>
  <si>
    <t>6100 - Coop Services &amp; Fees</t>
  </si>
  <si>
    <t>6000 - Site Expense</t>
  </si>
  <si>
    <t>Total - 5000 - Personnel</t>
  </si>
  <si>
    <t>Total - 5400 - Training &amp; Appreciation</t>
  </si>
  <si>
    <t>5410 - Staff Training</t>
  </si>
  <si>
    <t>5400 - Training &amp; Appreciation</t>
  </si>
  <si>
    <t>Total - 5200 - Benefits</t>
  </si>
  <si>
    <t>5270 - Workers Compensation Expense</t>
  </si>
  <si>
    <t>5260 - Unemployment Insurance Expense</t>
  </si>
  <si>
    <t>5240 - LTD/ADD/Life Expense</t>
  </si>
  <si>
    <t>Total - 5230 - Healthcare Expense</t>
  </si>
  <si>
    <t>5232 - Blue Cross Expense</t>
  </si>
  <si>
    <t>5230 - Healthcare Expense</t>
  </si>
  <si>
    <t>5220 - ER FICA</t>
  </si>
  <si>
    <t>5210 - ER 403b Contribution</t>
  </si>
  <si>
    <t>5200 - Benefits</t>
  </si>
  <si>
    <t>Total - 5100 - Salaries</t>
  </si>
  <si>
    <t>5120 - Vacation Expense</t>
  </si>
  <si>
    <t>5100 - Salaries</t>
  </si>
  <si>
    <t>5000 - Personnel</t>
  </si>
  <si>
    <t>Expense</t>
  </si>
  <si>
    <t>Gross Profit</t>
  </si>
  <si>
    <t>Total - Income</t>
  </si>
  <si>
    <t>Total - 4700 - Miscellaneous Income</t>
  </si>
  <si>
    <t>4720 - Interest Earned</t>
  </si>
  <si>
    <t>4700 - Miscellaneous Income</t>
  </si>
  <si>
    <t>4520 - Donations</t>
  </si>
  <si>
    <t>4400 - Owner Subsidy</t>
  </si>
  <si>
    <t>4300 - Lodging</t>
  </si>
  <si>
    <t>Total - 4200 - Food Service</t>
  </si>
  <si>
    <t>4220 - Food Service Non Taxable</t>
  </si>
  <si>
    <t>4210 - Food Service Taxable</t>
  </si>
  <si>
    <t>4200 - Food Service</t>
  </si>
  <si>
    <t>Income</t>
  </si>
  <si>
    <t>Ordinary Income/Expense</t>
  </si>
  <si>
    <t>Amount</t>
  </si>
  <si>
    <t> </t>
  </si>
  <si>
    <t>Total</t>
  </si>
  <si>
    <t>Dec 2020</t>
  </si>
  <si>
    <t>Nov 2020</t>
  </si>
  <si>
    <t>Oct 2020</t>
  </si>
  <si>
    <t>Sep 2020</t>
  </si>
  <si>
    <t>Aug 2020</t>
  </si>
  <si>
    <t>Jul 2020</t>
  </si>
  <si>
    <t>Jun 2020</t>
  </si>
  <si>
    <t>Financial Row</t>
  </si>
  <si>
    <t/>
  </si>
  <si>
    <t>TOC Monthly Income Statement 2020</t>
  </si>
  <si>
    <t>Parent (Consolidation) : Parent Consolidation : TOC</t>
  </si>
  <si>
    <t>United Camps Conferences and Retreats</t>
  </si>
  <si>
    <r>
      <rPr>
        <b/>
        <sz val="16"/>
        <color indexed="20"/>
        <rFont val="Arial"/>
        <family val="2"/>
      </rPr>
      <t>By</t>
    </r>
    <r>
      <rPr>
        <b/>
        <sz val="18"/>
        <color indexed="20"/>
        <rFont val="Arial"/>
        <family val="2"/>
      </rPr>
      <t xml:space="preserve">:  4  staff  &gt;&gt;&gt;&gt;  Updated at </t>
    </r>
  </si>
  <si>
    <t>10/05/2021</t>
  </si>
  <si>
    <t>7900 - Misc Office Expense</t>
  </si>
  <si>
    <t>Total - 7400 - Taxes, Dues and Fees</t>
  </si>
  <si>
    <t>7450 - Taxes &amp; Assessments</t>
  </si>
  <si>
    <t>7430 - Interest Expense</t>
  </si>
  <si>
    <t>7410 - Licenses, Dues, Mbrshps, Fees</t>
  </si>
  <si>
    <t>7400 - Taxes, Dues and Fees</t>
  </si>
  <si>
    <t>Total - 7300 - Marketing &amp; Promotion</t>
  </si>
  <si>
    <t>7310 - Marketing / Promotional</t>
  </si>
  <si>
    <t>7300 - Marketing &amp; Promotion</t>
  </si>
  <si>
    <t>7210 - Travel Within Coop-WLF</t>
  </si>
  <si>
    <t>7120 - Program Supplies</t>
  </si>
  <si>
    <t>6430 - Accident/Camper Insurance</t>
  </si>
  <si>
    <t>5500 - Contract Labor</t>
  </si>
  <si>
    <t>5420 - Staff Appreciation</t>
  </si>
  <si>
    <t>5300 - Employment Services</t>
  </si>
  <si>
    <t>4805 - 5% Owner Rebate</t>
  </si>
  <si>
    <t>4750 - Discount/Write Off/Conv Fee</t>
  </si>
  <si>
    <t>4710 - Ropes Course Program Fees</t>
  </si>
  <si>
    <t>4515 - PPP Funding</t>
  </si>
  <si>
    <t>Aug 2021</t>
  </si>
  <si>
    <t>Jul 2021</t>
  </si>
  <si>
    <t>Jun 2021</t>
  </si>
  <si>
    <t>May 2021</t>
  </si>
  <si>
    <t>Apr 2021</t>
  </si>
  <si>
    <t>Mar 2021</t>
  </si>
  <si>
    <t>Feb 2021</t>
  </si>
  <si>
    <t>Jan 2021</t>
  </si>
  <si>
    <t>TOC (2) Monthly Income Statement 2021</t>
  </si>
  <si>
    <t xml:space="preserve">2021 Actual </t>
  </si>
  <si>
    <t xml:space="preserve">&amp; Projected </t>
  </si>
  <si>
    <t>As of 08/31/2021</t>
  </si>
  <si>
    <t>Revenue      Total</t>
  </si>
  <si>
    <r>
      <t xml:space="preserve">  Subsidy -  </t>
    </r>
    <r>
      <rPr>
        <sz val="20"/>
        <color theme="1"/>
        <rFont val="Arial"/>
        <family val="2"/>
      </rPr>
      <t>4400</t>
    </r>
    <r>
      <rPr>
        <b/>
        <sz val="20"/>
        <color theme="1"/>
        <rFont val="Arial"/>
        <family val="2"/>
      </rPr>
      <t xml:space="preserve"> + PPP</t>
    </r>
  </si>
  <si>
    <r>
      <t>USER DAYS</t>
    </r>
    <r>
      <rPr>
        <b/>
        <sz val="20"/>
        <color rgb="FF000000"/>
        <rFont val="Arial"/>
        <family val="2"/>
      </rPr>
      <t xml:space="preserve">    </t>
    </r>
    <r>
      <rPr>
        <b/>
        <u/>
        <sz val="20"/>
        <color indexed="8"/>
        <rFont val="Arial"/>
        <family val="2"/>
      </rPr>
      <t>SD Proj.</t>
    </r>
    <r>
      <rPr>
        <b/>
        <sz val="20"/>
        <color rgb="FF000000"/>
        <rFont val="Arial"/>
        <family val="2"/>
      </rPr>
      <t xml:space="preserve">    </t>
    </r>
  </si>
  <si>
    <t>Update &gt;</t>
  </si>
  <si>
    <t>9020 - Grants / Owner Grants for Projects</t>
  </si>
  <si>
    <t>7420 - Fees-Merchant, Payroll, Bank</t>
  </si>
  <si>
    <t>Dec 2021</t>
  </si>
  <si>
    <t>Nov 2021</t>
  </si>
  <si>
    <t>Oct 2021</t>
  </si>
  <si>
    <t>Sep 2021</t>
  </si>
  <si>
    <t>From Jan 2021 to Dec 2021</t>
  </si>
  <si>
    <t>2022 Updated Projection</t>
  </si>
  <si>
    <r>
      <t xml:space="preserve">  </t>
    </r>
    <r>
      <rPr>
        <b/>
        <sz val="20"/>
        <color rgb="FF000000"/>
        <rFont val="Arial"/>
        <family val="2"/>
      </rPr>
      <t>5% Owner Rebate</t>
    </r>
    <r>
      <rPr>
        <sz val="20"/>
        <color indexed="8"/>
        <rFont val="Arial"/>
        <family val="2"/>
      </rPr>
      <t xml:space="preserve"> - 4805</t>
    </r>
  </si>
  <si>
    <t>NET SURPLUS &lt;DEFICIT&gt;                                             AFTER Owner's Subsidy</t>
  </si>
  <si>
    <t xml:space="preserve">  ERC (Employee Retention Credit)</t>
  </si>
  <si>
    <t xml:space="preserve"> OWNER GRANT - SUBSIDY</t>
  </si>
  <si>
    <t>Cumulative</t>
  </si>
  <si>
    <t>This Projection is based on YTD Actual Rev &amp; Exp AND Reservation Data as well as the Best Estimate</t>
  </si>
  <si>
    <r>
      <rPr>
        <b/>
        <sz val="16"/>
        <color indexed="20"/>
        <rFont val="Arial"/>
        <family val="2"/>
      </rPr>
      <t>By</t>
    </r>
    <r>
      <rPr>
        <b/>
        <sz val="18"/>
        <color indexed="20"/>
        <rFont val="Arial"/>
        <family val="2"/>
      </rPr>
      <t xml:space="preserve">:  SD Updated at </t>
    </r>
  </si>
  <si>
    <t>Actual</t>
  </si>
  <si>
    <r>
      <rPr>
        <b/>
        <sz val="26"/>
        <color rgb="FF0000CC"/>
        <rFont val="Arial"/>
        <family val="2"/>
      </rPr>
      <t>2022 Updated Projection</t>
    </r>
    <r>
      <rPr>
        <b/>
        <sz val="26"/>
        <color indexed="20"/>
        <rFont val="Arial"/>
        <family val="2"/>
      </rPr>
      <t xml:space="preserve"> vs </t>
    </r>
    <r>
      <rPr>
        <b/>
        <sz val="26"/>
        <color rgb="FF006600"/>
        <rFont val="Arial"/>
        <family val="2"/>
      </rPr>
      <t>Budget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</si>
</sst>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mm\-yy"/>
    <numFmt numFmtId="166" formatCode="m/d/yy;@"/>
    <numFmt numFmtId="167" formatCode="0_);\(0\)"/>
    <numFmt numFmtId="168" formatCode="&quot;$&quot;#,##0"/>
    <numFmt numFmtId="169" formatCode="_(* #,##0_);_(* \(#,##0\);_(* &quot;-&quot;??_);_(@_)"/>
    <numFmt numFmtId="170" formatCode="0.0%"/>
    <numFmt numFmtId="171" formatCode="0\ "/>
    <numFmt numFmtId="172" formatCode="* #,##0.00\ ;* \(#,##0.00\);* \-#\ ;@\ "/>
    <numFmt numFmtId="173" formatCode="&quot; $&quot;* #,##0.00\ ;&quot; $&quot;* \(#,##0.00\);&quot; $&quot;* \-#\ ;@\ "/>
    <numFmt numFmtId="174" formatCode="[$$-409]#,##0_);\([$$-409]#,##0\)"/>
    <numFmt numFmtId="175" formatCode="0.00_)"/>
  </numFmts>
  <fonts count="105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26"/>
      <color indexed="8"/>
      <name val="Arial"/>
      <family val="2"/>
    </font>
    <font>
      <b/>
      <sz val="2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17"/>
      <name val="Arial"/>
      <family val="2"/>
    </font>
    <font>
      <b/>
      <sz val="20"/>
      <color rgb="FF3399FF"/>
      <name val="Arial"/>
      <family val="2"/>
    </font>
    <font>
      <b/>
      <sz val="20"/>
      <color indexed="20"/>
      <name val="Arial"/>
      <family val="2"/>
    </font>
    <font>
      <b/>
      <sz val="22"/>
      <color rgb="FF0000FF"/>
      <name val="Arial"/>
      <family val="2"/>
    </font>
    <font>
      <b/>
      <sz val="16"/>
      <color indexed="48"/>
      <name val="Arial"/>
      <family val="2"/>
    </font>
    <font>
      <b/>
      <sz val="20"/>
      <color rgb="FF008000"/>
      <name val="Arial"/>
      <family val="2"/>
    </font>
    <font>
      <b/>
      <u/>
      <sz val="20"/>
      <color indexed="8"/>
      <name val="Arial"/>
      <family val="2"/>
    </font>
    <font>
      <b/>
      <sz val="20"/>
      <color indexed="12"/>
      <name val="Arial"/>
      <family val="2"/>
    </font>
    <font>
      <sz val="10"/>
      <name val="Arial"/>
      <family val="2"/>
    </font>
    <font>
      <b/>
      <sz val="16"/>
      <color indexed="20"/>
      <name val="Arial"/>
      <family val="2"/>
    </font>
    <font>
      <b/>
      <sz val="20"/>
      <color indexed="18"/>
      <name val="Arial"/>
      <family val="2"/>
    </font>
    <font>
      <b/>
      <u/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color indexed="14"/>
      <name val="Arial"/>
      <family val="2"/>
    </font>
    <font>
      <b/>
      <sz val="20"/>
      <color indexed="16"/>
      <name val="Arial"/>
      <family val="2"/>
    </font>
    <font>
      <b/>
      <sz val="18"/>
      <color indexed="16"/>
      <name val="Arial"/>
      <family val="2"/>
    </font>
    <font>
      <b/>
      <sz val="20"/>
      <color indexed="53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24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Arial"/>
      <family val="2"/>
      <charset val="1"/>
    </font>
    <font>
      <b/>
      <sz val="20"/>
      <color theme="1"/>
      <name val="Arial"/>
      <family val="2"/>
    </font>
    <font>
      <b/>
      <sz val="20"/>
      <color rgb="FF0000FF"/>
      <name val="Arial"/>
      <family val="2"/>
    </font>
    <font>
      <b/>
      <sz val="24"/>
      <color theme="1"/>
      <name val="Arial"/>
      <family val="2"/>
    </font>
    <font>
      <sz val="14"/>
      <color indexed="8"/>
      <name val="Arial"/>
      <family val="2"/>
    </font>
    <font>
      <b/>
      <sz val="16"/>
      <color rgb="FF3333FF"/>
      <name val="Arial"/>
      <family val="2"/>
    </font>
    <font>
      <b/>
      <sz val="16"/>
      <color rgb="FF6600CC"/>
      <name val="Tahoma"/>
      <family val="2"/>
    </font>
    <font>
      <b/>
      <sz val="17"/>
      <color rgb="FF6600CC"/>
      <name val="Tahoma"/>
      <family val="2"/>
    </font>
    <font>
      <b/>
      <sz val="16"/>
      <color rgb="FF6600FF"/>
      <name val="Tahoma"/>
      <family val="2"/>
    </font>
    <font>
      <b/>
      <sz val="16"/>
      <color theme="1"/>
      <name val="Arial"/>
      <family val="2"/>
    </font>
    <font>
      <b/>
      <sz val="20"/>
      <color rgb="FFCC3300"/>
      <name val="Arial"/>
      <family val="2"/>
    </font>
    <font>
      <b/>
      <sz val="21"/>
      <color rgb="FFCC3300"/>
      <name val="Arial"/>
      <family val="2"/>
    </font>
    <font>
      <b/>
      <sz val="20"/>
      <color rgb="FFC00000"/>
      <name val="Arial"/>
      <family val="2"/>
    </font>
    <font>
      <b/>
      <sz val="12"/>
      <color theme="1"/>
      <name val="Arial"/>
      <family val="2"/>
    </font>
    <font>
      <b/>
      <sz val="22"/>
      <color indexed="8"/>
      <name val="Arial"/>
      <family val="2"/>
    </font>
    <font>
      <b/>
      <sz val="20"/>
      <color rgb="FF3333FF"/>
      <name val="Arial"/>
      <family val="2"/>
    </font>
    <font>
      <b/>
      <strike/>
      <sz val="16"/>
      <color rgb="FF6600CC"/>
      <name val="Tahoma"/>
      <family val="2"/>
    </font>
    <font>
      <b/>
      <sz val="20"/>
      <color rgb="FFFF0000"/>
      <name val="Arial"/>
      <family val="2"/>
    </font>
    <font>
      <b/>
      <sz val="20"/>
      <color rgb="FF990000"/>
      <name val="Arial"/>
      <family val="2"/>
    </font>
    <font>
      <b/>
      <strike/>
      <sz val="16"/>
      <color rgb="FF3333FF"/>
      <name val="Arial"/>
      <family val="2"/>
    </font>
    <font>
      <b/>
      <strike/>
      <sz val="16"/>
      <color rgb="FF0000FF"/>
      <name val="Arial"/>
      <family val="2"/>
    </font>
    <font>
      <b/>
      <strike/>
      <sz val="18"/>
      <color rgb="FF3333FF"/>
      <name val="Arial"/>
      <family val="2"/>
    </font>
    <font>
      <b/>
      <sz val="36"/>
      <color rgb="FF0000CC"/>
      <name val="Calibri"/>
      <family val="2"/>
      <scheme val="minor"/>
    </font>
    <font>
      <b/>
      <u/>
      <sz val="36"/>
      <color rgb="FF0000CC"/>
      <name val="Arial"/>
      <family val="2"/>
    </font>
    <font>
      <i/>
      <sz val="16"/>
      <color theme="1"/>
      <name val="Arial"/>
      <family val="2"/>
    </font>
    <font>
      <sz val="16"/>
      <name val="Arial"/>
      <family val="2"/>
    </font>
    <font>
      <b/>
      <sz val="20"/>
      <color rgb="FF000000"/>
      <name val="Arial"/>
      <family val="2"/>
    </font>
    <font>
      <b/>
      <sz val="36"/>
      <color indexed="8"/>
      <name val="Arial"/>
      <family val="2"/>
    </font>
    <font>
      <b/>
      <i/>
      <sz val="22"/>
      <color rgb="FFFF0000"/>
      <name val="Arial"/>
      <family val="2"/>
    </font>
    <font>
      <b/>
      <sz val="18"/>
      <color indexed="20"/>
      <name val="Arial"/>
      <family val="2"/>
    </font>
    <font>
      <sz val="10"/>
      <name val="Arial"/>
      <family val="2"/>
      <charset val="1"/>
    </font>
    <font>
      <b/>
      <sz val="26"/>
      <color indexed="48"/>
      <name val="Arial"/>
      <family val="2"/>
    </font>
    <font>
      <b/>
      <sz val="22"/>
      <color indexed="12"/>
      <name val="Arial"/>
      <family val="2"/>
    </font>
    <font>
      <i/>
      <sz val="20"/>
      <color rgb="FF000000"/>
      <name val="Arial"/>
      <family val="2"/>
    </font>
    <font>
      <b/>
      <sz val="20"/>
      <color indexed="21"/>
      <name val="Arial"/>
      <family val="2"/>
    </font>
    <font>
      <sz val="20"/>
      <color theme="1"/>
      <name val="Arial"/>
      <family val="2"/>
    </font>
    <font>
      <sz val="20"/>
      <color indexed="8"/>
      <name val="Arial"/>
      <family val="2"/>
    </font>
    <font>
      <b/>
      <sz val="18"/>
      <color indexed="81"/>
      <name val="Tahoma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20"/>
      <color rgb="FF0000CC"/>
      <name val="Arial"/>
      <family val="2"/>
    </font>
    <font>
      <b/>
      <sz val="26"/>
      <color rgb="FF0000CC"/>
      <name val="Arial"/>
      <family val="2"/>
    </font>
    <font>
      <b/>
      <sz val="12"/>
      <color rgb="FF3333FF"/>
      <name val="Arial"/>
      <family val="2"/>
    </font>
    <font>
      <b/>
      <sz val="24"/>
      <color indexed="12"/>
      <name val="Arial"/>
      <family val="2"/>
    </font>
    <font>
      <b/>
      <sz val="28"/>
      <color indexed="12"/>
      <name val="Arial"/>
      <family val="2"/>
    </font>
    <font>
      <b/>
      <sz val="26"/>
      <color indexed="20"/>
      <name val="Arial"/>
      <family val="2"/>
    </font>
    <font>
      <b/>
      <sz val="26"/>
      <color rgb="FF006600"/>
      <name val="Arial"/>
      <family val="2"/>
    </font>
    <font>
      <b/>
      <sz val="21"/>
      <color rgb="FFFF0000"/>
      <name val="Arial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22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rgb="FF969696"/>
      </top>
      <bottom/>
      <diagonal/>
    </border>
    <border>
      <left/>
      <right/>
      <top style="dotted">
        <color rgb="FFC0C0C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9">
    <xf numFmtId="164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9" fillId="0" borderId="0"/>
    <xf numFmtId="0" fontId="33" fillId="0" borderId="0"/>
    <xf numFmtId="0" fontId="7" fillId="0" borderId="0"/>
    <xf numFmtId="0" fontId="35" fillId="0" borderId="0">
      <alignment vertical="top"/>
    </xf>
    <xf numFmtId="171" fontId="36" fillId="0" borderId="0"/>
    <xf numFmtId="172" fontId="36" fillId="0" borderId="0" applyFill="0" applyBorder="0" applyAlignment="0" applyProtection="0"/>
    <xf numFmtId="173" fontId="36" fillId="0" borderId="0" applyFill="0" applyBorder="0" applyAlignment="0" applyProtection="0"/>
    <xf numFmtId="9" fontId="36" fillId="0" borderId="0" applyFill="0" applyBorder="0" applyAlignment="0" applyProtection="0"/>
    <xf numFmtId="0" fontId="6" fillId="0" borderId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22" fillId="0" borderId="0"/>
    <xf numFmtId="9" fontId="37" fillId="0" borderId="0" applyFill="0" applyBorder="0" applyAlignment="0" applyProtection="0"/>
    <xf numFmtId="0" fontId="6" fillId="0" borderId="0"/>
    <xf numFmtId="43" fontId="2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7" fillId="0" borderId="0"/>
    <xf numFmtId="0" fontId="75" fillId="0" borderId="0"/>
    <xf numFmtId="0" fontId="75" fillId="0" borderId="0"/>
    <xf numFmtId="0" fontId="85" fillId="0" borderId="0"/>
    <xf numFmtId="0" fontId="3" fillId="0" borderId="0"/>
    <xf numFmtId="0" fontId="2" fillId="0" borderId="0"/>
    <xf numFmtId="0" fontId="1" fillId="0" borderId="0"/>
  </cellStyleXfs>
  <cellXfs count="295">
    <xf numFmtId="164" fontId="0" fillId="0" borderId="0" xfId="0"/>
    <xf numFmtId="165" fontId="10" fillId="0" borderId="0" xfId="0" applyNumberFormat="1" applyFont="1"/>
    <xf numFmtId="37" fontId="11" fillId="0" borderId="0" xfId="0" applyNumberFormat="1" applyFont="1"/>
    <xf numFmtId="164" fontId="11" fillId="0" borderId="0" xfId="0" applyFont="1"/>
    <xf numFmtId="165" fontId="12" fillId="0" borderId="0" xfId="0" applyNumberFormat="1" applyFont="1"/>
    <xf numFmtId="165" fontId="13" fillId="0" borderId="0" xfId="0" applyNumberFormat="1" applyFont="1" applyAlignment="1" applyProtection="1">
      <alignment horizontal="center"/>
      <protection locked="0"/>
    </xf>
    <xf numFmtId="37" fontId="14" fillId="0" borderId="1" xfId="0" applyNumberFormat="1" applyFont="1" applyBorder="1" applyAlignment="1" applyProtection="1">
      <alignment horizontal="center" vertical="center"/>
      <protection locked="0"/>
    </xf>
    <xf numFmtId="164" fontId="15" fillId="0" borderId="1" xfId="0" applyFont="1" applyBorder="1" applyAlignment="1" applyProtection="1">
      <alignment horizontal="center" vertical="center"/>
      <protection locked="0"/>
    </xf>
    <xf numFmtId="164" fontId="11" fillId="0" borderId="0" xfId="0" applyFont="1" applyProtection="1">
      <protection locked="0"/>
    </xf>
    <xf numFmtId="37" fontId="11" fillId="0" borderId="0" xfId="0" applyNumberFormat="1" applyFont="1" applyAlignment="1">
      <alignment horizontal="right"/>
    </xf>
    <xf numFmtId="164" fontId="20" fillId="0" borderId="0" xfId="0" applyFont="1" applyAlignment="1">
      <alignment horizontal="left"/>
    </xf>
    <xf numFmtId="164" fontId="11" fillId="0" borderId="0" xfId="0" applyFont="1" applyAlignment="1" applyProtection="1">
      <alignment horizontal="center" vertical="center"/>
      <protection locked="0"/>
    </xf>
    <xf numFmtId="164" fontId="14" fillId="5" borderId="1" xfId="0" applyFont="1" applyFill="1" applyBorder="1" applyAlignment="1">
      <alignment horizontal="center" wrapText="1"/>
    </xf>
    <xf numFmtId="37" fontId="11" fillId="0" borderId="0" xfId="0" applyNumberFormat="1" applyFont="1" applyAlignment="1">
      <alignment horizontal="center"/>
    </xf>
    <xf numFmtId="37" fontId="11" fillId="0" borderId="8" xfId="0" applyNumberFormat="1" applyFont="1" applyBorder="1" applyAlignment="1">
      <alignment horizontal="center" wrapText="1"/>
    </xf>
    <xf numFmtId="37" fontId="11" fillId="0" borderId="0" xfId="0" applyNumberFormat="1" applyFont="1" applyProtection="1">
      <protection locked="0"/>
    </xf>
    <xf numFmtId="37" fontId="13" fillId="0" borderId="0" xfId="0" applyNumberFormat="1" applyFont="1" applyAlignment="1">
      <alignment horizontal="left"/>
    </xf>
    <xf numFmtId="37" fontId="13" fillId="0" borderId="0" xfId="0" applyNumberFormat="1" applyFont="1" applyProtection="1">
      <protection locked="0"/>
    </xf>
    <xf numFmtId="37" fontId="14" fillId="5" borderId="1" xfId="0" applyNumberFormat="1" applyFont="1" applyFill="1" applyBorder="1"/>
    <xf numFmtId="37" fontId="14" fillId="5" borderId="9" xfId="0" applyNumberFormat="1" applyFont="1" applyFill="1" applyBorder="1"/>
    <xf numFmtId="164" fontId="13" fillId="0" borderId="0" xfId="0" applyFont="1"/>
    <xf numFmtId="37" fontId="13" fillId="0" borderId="0" xfId="0" applyNumberFormat="1" applyFont="1" applyAlignment="1">
      <alignment horizontal="right"/>
    </xf>
    <xf numFmtId="5" fontId="13" fillId="0" borderId="0" xfId="0" applyNumberFormat="1" applyFont="1"/>
    <xf numFmtId="164" fontId="13" fillId="0" borderId="0" xfId="0" applyFont="1" applyProtection="1">
      <protection locked="0"/>
    </xf>
    <xf numFmtId="164" fontId="14" fillId="0" borderId="0" xfId="0" applyFont="1"/>
    <xf numFmtId="167" fontId="11" fillId="0" borderId="0" xfId="0" applyNumberFormat="1" applyFont="1" applyProtection="1">
      <protection locked="0"/>
    </xf>
    <xf numFmtId="167" fontId="11" fillId="0" borderId="0" xfId="0" applyNumberFormat="1" applyFont="1"/>
    <xf numFmtId="167" fontId="20" fillId="0" borderId="0" xfId="0" applyNumberFormat="1" applyFont="1" applyAlignment="1">
      <alignment horizontal="left"/>
    </xf>
    <xf numFmtId="164" fontId="13" fillId="0" borderId="0" xfId="0" applyFont="1" applyAlignment="1" applyProtection="1">
      <alignment horizontal="right"/>
      <protection locked="0"/>
    </xf>
    <xf numFmtId="170" fontId="25" fillId="0" borderId="0" xfId="0" applyNumberFormat="1" applyFont="1" applyAlignment="1">
      <alignment horizontal="left"/>
    </xf>
    <xf numFmtId="37" fontId="26" fillId="0" borderId="12" xfId="1" applyNumberFormat="1" applyFont="1" applyFill="1" applyBorder="1" applyAlignment="1" applyProtection="1">
      <alignment wrapText="1"/>
      <protection locked="0"/>
    </xf>
    <xf numFmtId="164" fontId="13" fillId="0" borderId="8" xfId="0" applyFont="1" applyBorder="1"/>
    <xf numFmtId="170" fontId="27" fillId="0" borderId="0" xfId="0" applyNumberFormat="1" applyFont="1"/>
    <xf numFmtId="170" fontId="26" fillId="0" borderId="0" xfId="0" applyNumberFormat="1" applyFont="1"/>
    <xf numFmtId="170" fontId="26" fillId="0" borderId="14" xfId="0" applyNumberFormat="1" applyFont="1" applyBorder="1"/>
    <xf numFmtId="37" fontId="13" fillId="0" borderId="0" xfId="0" applyNumberFormat="1" applyFont="1"/>
    <xf numFmtId="170" fontId="27" fillId="5" borderId="15" xfId="0" applyNumberFormat="1" applyFont="1" applyFill="1" applyBorder="1"/>
    <xf numFmtId="37" fontId="26" fillId="0" borderId="0" xfId="0" applyNumberFormat="1" applyFont="1"/>
    <xf numFmtId="37" fontId="27" fillId="0" borderId="0" xfId="0" applyNumberFormat="1" applyFont="1"/>
    <xf numFmtId="37" fontId="13" fillId="0" borderId="9" xfId="0" applyNumberFormat="1" applyFont="1" applyBorder="1" applyProtection="1">
      <protection locked="0"/>
    </xf>
    <xf numFmtId="170" fontId="27" fillId="0" borderId="13" xfId="0" applyNumberFormat="1" applyFont="1" applyBorder="1"/>
    <xf numFmtId="170" fontId="27" fillId="5" borderId="14" xfId="0" applyNumberFormat="1" applyFont="1" applyFill="1" applyBorder="1"/>
    <xf numFmtId="5" fontId="28" fillId="0" borderId="0" xfId="0" applyNumberFormat="1" applyFont="1"/>
    <xf numFmtId="37" fontId="19" fillId="0" borderId="9" xfId="0" applyNumberFormat="1" applyFont="1" applyBorder="1" applyProtection="1">
      <protection locked="0"/>
    </xf>
    <xf numFmtId="170" fontId="27" fillId="0" borderId="16" xfId="0" applyNumberFormat="1" applyFont="1" applyBorder="1"/>
    <xf numFmtId="37" fontId="11" fillId="0" borderId="0" xfId="0" applyNumberFormat="1" applyFont="1" applyAlignment="1">
      <alignment horizontal="left"/>
    </xf>
    <xf numFmtId="169" fontId="29" fillId="0" borderId="0" xfId="1" applyNumberFormat="1" applyFont="1" applyFill="1" applyBorder="1" applyProtection="1"/>
    <xf numFmtId="169" fontId="30" fillId="0" borderId="0" xfId="1" applyNumberFormat="1" applyFont="1" applyFill="1" applyBorder="1" applyProtection="1">
      <protection locked="0"/>
    </xf>
    <xf numFmtId="5" fontId="11" fillId="0" borderId="11" xfId="0" applyNumberFormat="1" applyFont="1" applyBorder="1"/>
    <xf numFmtId="5" fontId="13" fillId="0" borderId="11" xfId="0" applyNumberFormat="1" applyFont="1" applyBorder="1"/>
    <xf numFmtId="5" fontId="13" fillId="5" borderId="11" xfId="0" applyNumberFormat="1" applyFont="1" applyFill="1" applyBorder="1"/>
    <xf numFmtId="164" fontId="21" fillId="0" borderId="0" xfId="0" applyFont="1" applyAlignment="1" applyProtection="1">
      <alignment wrapText="1"/>
      <protection locked="0"/>
    </xf>
    <xf numFmtId="164" fontId="11" fillId="0" borderId="0" xfId="0" applyFont="1" applyAlignment="1" applyProtection="1">
      <alignment wrapText="1"/>
      <protection locked="0"/>
    </xf>
    <xf numFmtId="164" fontId="11" fillId="0" borderId="0" xfId="0" applyFont="1" applyAlignment="1">
      <alignment vertical="top" wrapText="1"/>
    </xf>
    <xf numFmtId="169" fontId="11" fillId="0" borderId="0" xfId="1" applyNumberFormat="1" applyFont="1" applyFill="1" applyBorder="1" applyAlignment="1" applyProtection="1">
      <alignment wrapText="1"/>
      <protection locked="0"/>
    </xf>
    <xf numFmtId="169" fontId="31" fillId="0" borderId="0" xfId="1" applyNumberFormat="1" applyFont="1" applyBorder="1" applyAlignment="1" applyProtection="1">
      <alignment wrapText="1"/>
      <protection locked="0"/>
    </xf>
    <xf numFmtId="164" fontId="11" fillId="0" borderId="0" xfId="0" applyFont="1" applyAlignment="1">
      <alignment wrapText="1"/>
    </xf>
    <xf numFmtId="164" fontId="38" fillId="0" borderId="1" xfId="0" applyFont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Alignment="1" applyProtection="1">
      <alignment horizontal="right"/>
      <protection locked="0"/>
    </xf>
    <xf numFmtId="164" fontId="16" fillId="0" borderId="0" xfId="0" applyFont="1" applyAlignment="1">
      <alignment horizontal="right"/>
    </xf>
    <xf numFmtId="164" fontId="39" fillId="0" borderId="0" xfId="0" applyFont="1" applyAlignment="1" applyProtection="1">
      <alignment horizontal="center" vertical="center"/>
      <protection locked="0"/>
    </xf>
    <xf numFmtId="37" fontId="13" fillId="0" borderId="0" xfId="0" applyNumberFormat="1" applyFont="1" applyAlignment="1" applyProtection="1">
      <alignment horizontal="right"/>
      <protection locked="0"/>
    </xf>
    <xf numFmtId="37" fontId="13" fillId="0" borderId="1" xfId="0" applyNumberFormat="1" applyFont="1" applyBorder="1" applyAlignment="1" applyProtection="1">
      <alignment horizontal="right"/>
      <protection locked="0"/>
    </xf>
    <xf numFmtId="37" fontId="13" fillId="0" borderId="11" xfId="0" applyNumberFormat="1" applyFont="1" applyBorder="1" applyAlignment="1">
      <alignment horizontal="right"/>
    </xf>
    <xf numFmtId="37" fontId="18" fillId="0" borderId="0" xfId="2" applyNumberFormat="1" applyFont="1" applyFill="1" applyBorder="1" applyAlignment="1" applyProtection="1">
      <alignment horizontal="right" vertical="top"/>
      <protection locked="0"/>
    </xf>
    <xf numFmtId="5" fontId="11" fillId="4" borderId="11" xfId="0" applyNumberFormat="1" applyFont="1" applyFill="1" applyBorder="1"/>
    <xf numFmtId="165" fontId="39" fillId="0" borderId="0" xfId="0" applyNumberFormat="1" applyFont="1" applyAlignment="1" applyProtection="1">
      <alignment horizontal="center"/>
      <protection locked="0"/>
    </xf>
    <xf numFmtId="37" fontId="24" fillId="0" borderId="1" xfId="4" applyNumberFormat="1" applyFont="1" applyBorder="1" applyAlignment="1">
      <alignment horizontal="center" wrapText="1"/>
    </xf>
    <xf numFmtId="164" fontId="13" fillId="0" borderId="0" xfId="0" applyFont="1" applyAlignment="1">
      <alignment horizontal="center"/>
    </xf>
    <xf numFmtId="37" fontId="38" fillId="0" borderId="0" xfId="0" applyNumberFormat="1" applyFont="1" applyAlignment="1">
      <alignment horizontal="left"/>
    </xf>
    <xf numFmtId="37" fontId="38" fillId="0" borderId="0" xfId="0" applyNumberFormat="1" applyFont="1" applyProtection="1">
      <protection locked="0"/>
    </xf>
    <xf numFmtId="9" fontId="41" fillId="0" borderId="0" xfId="48" applyFont="1" applyFill="1" applyBorder="1" applyAlignment="1" applyProtection="1">
      <alignment horizontal="center"/>
      <protection locked="0"/>
    </xf>
    <xf numFmtId="3" fontId="13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7" fontId="42" fillId="0" borderId="0" xfId="0" applyNumberFormat="1" applyFont="1"/>
    <xf numFmtId="37" fontId="43" fillId="0" borderId="0" xfId="0" applyNumberFormat="1" applyFont="1"/>
    <xf numFmtId="170" fontId="20" fillId="0" borderId="0" xfId="0" applyNumberFormat="1" applyFont="1" applyAlignment="1">
      <alignment horizontal="left"/>
    </xf>
    <xf numFmtId="170" fontId="26" fillId="0" borderId="13" xfId="0" applyNumberFormat="1" applyFont="1" applyBorder="1"/>
    <xf numFmtId="170" fontId="46" fillId="0" borderId="13" xfId="0" applyNumberFormat="1" applyFont="1" applyBorder="1"/>
    <xf numFmtId="37" fontId="47" fillId="0" borderId="0" xfId="0" applyNumberFormat="1" applyFont="1" applyAlignment="1">
      <alignment horizontal="left"/>
    </xf>
    <xf numFmtId="37" fontId="48" fillId="0" borderId="9" xfId="0" applyNumberFormat="1" applyFont="1" applyBorder="1"/>
    <xf numFmtId="165" fontId="48" fillId="0" borderId="0" xfId="0" applyNumberFormat="1" applyFont="1" applyAlignment="1" applyProtection="1">
      <alignment horizontal="center"/>
      <protection locked="0"/>
    </xf>
    <xf numFmtId="37" fontId="49" fillId="0" borderId="0" xfId="0" applyNumberFormat="1" applyFont="1" applyAlignment="1">
      <alignment horizontal="left"/>
    </xf>
    <xf numFmtId="37" fontId="49" fillId="0" borderId="9" xfId="0" applyNumberFormat="1" applyFont="1" applyBorder="1"/>
    <xf numFmtId="37" fontId="13" fillId="4" borderId="0" xfId="0" applyNumberFormat="1" applyFont="1" applyFill="1" applyAlignment="1">
      <alignment horizontal="left"/>
    </xf>
    <xf numFmtId="37" fontId="13" fillId="4" borderId="0" xfId="0" applyNumberFormat="1" applyFont="1" applyFill="1" applyAlignment="1">
      <alignment horizontal="center"/>
    </xf>
    <xf numFmtId="37" fontId="13" fillId="4" borderId="0" xfId="0" applyNumberFormat="1" applyFont="1" applyFill="1" applyAlignment="1">
      <alignment horizontal="right"/>
    </xf>
    <xf numFmtId="37" fontId="51" fillId="4" borderId="0" xfId="0" applyNumberFormat="1" applyFont="1" applyFill="1" applyAlignment="1">
      <alignment horizontal="left"/>
    </xf>
    <xf numFmtId="37" fontId="51" fillId="4" borderId="0" xfId="0" applyNumberFormat="1" applyFont="1" applyFill="1" applyAlignment="1">
      <alignment horizontal="center"/>
    </xf>
    <xf numFmtId="37" fontId="51" fillId="4" borderId="0" xfId="0" applyNumberFormat="1" applyFont="1" applyFill="1" applyAlignment="1">
      <alignment horizontal="right"/>
    </xf>
    <xf numFmtId="14" fontId="16" fillId="4" borderId="8" xfId="0" quotePrefix="1" applyNumberFormat="1" applyFont="1" applyFill="1" applyBorder="1" applyAlignment="1">
      <alignment horizontal="center"/>
    </xf>
    <xf numFmtId="14" fontId="52" fillId="3" borderId="3" xfId="0" applyNumberFormat="1" applyFont="1" applyFill="1" applyBorder="1" applyAlignment="1">
      <alignment horizontal="center"/>
    </xf>
    <xf numFmtId="37" fontId="53" fillId="0" borderId="0" xfId="0" applyNumberFormat="1" applyFont="1" applyProtection="1">
      <protection locked="0"/>
    </xf>
    <xf numFmtId="37" fontId="53" fillId="0" borderId="0" xfId="0" applyNumberFormat="1" applyFont="1" applyAlignment="1" applyProtection="1">
      <alignment horizontal="right"/>
      <protection locked="0"/>
    </xf>
    <xf numFmtId="5" fontId="11" fillId="5" borderId="11" xfId="0" applyNumberFormat="1" applyFont="1" applyFill="1" applyBorder="1"/>
    <xf numFmtId="169" fontId="14" fillId="5" borderId="1" xfId="2" applyNumberFormat="1" applyFont="1" applyFill="1" applyBorder="1" applyProtection="1"/>
    <xf numFmtId="170" fontId="27" fillId="5" borderId="13" xfId="0" applyNumberFormat="1" applyFont="1" applyFill="1" applyBorder="1"/>
    <xf numFmtId="164" fontId="38" fillId="0" borderId="0" xfId="0" applyFont="1" applyAlignment="1" applyProtection="1">
      <alignment horizontal="center" vertical="center"/>
      <protection locked="0"/>
    </xf>
    <xf numFmtId="3" fontId="13" fillId="0" borderId="10" xfId="0" applyNumberFormat="1" applyFont="1" applyBorder="1"/>
    <xf numFmtId="167" fontId="45" fillId="0" borderId="0" xfId="0" applyNumberFormat="1" applyFont="1" applyAlignment="1">
      <alignment horizontal="right"/>
    </xf>
    <xf numFmtId="169" fontId="45" fillId="0" borderId="0" xfId="1" applyNumberFormat="1" applyFont="1" applyFill="1" applyBorder="1" applyAlignment="1">
      <alignment horizontal="right"/>
    </xf>
    <xf numFmtId="37" fontId="49" fillId="0" borderId="19" xfId="0" applyNumberFormat="1" applyFont="1" applyBorder="1"/>
    <xf numFmtId="37" fontId="11" fillId="0" borderId="10" xfId="0" applyNumberFormat="1" applyFont="1" applyBorder="1"/>
    <xf numFmtId="37" fontId="50" fillId="0" borderId="18" xfId="0" applyNumberFormat="1" applyFont="1" applyBorder="1" applyProtection="1">
      <protection locked="0"/>
    </xf>
    <xf numFmtId="37" fontId="11" fillId="0" borderId="11" xfId="0" applyNumberFormat="1" applyFont="1" applyBorder="1"/>
    <xf numFmtId="37" fontId="48" fillId="6" borderId="9" xfId="0" applyNumberFormat="1" applyFont="1" applyFill="1" applyBorder="1"/>
    <xf numFmtId="37" fontId="49" fillId="6" borderId="19" xfId="0" applyNumberFormat="1" applyFont="1" applyFill="1" applyBorder="1"/>
    <xf numFmtId="37" fontId="11" fillId="6" borderId="10" xfId="0" applyNumberFormat="1" applyFont="1" applyFill="1" applyBorder="1"/>
    <xf numFmtId="5" fontId="11" fillId="6" borderId="11" xfId="0" applyNumberFormat="1" applyFont="1" applyFill="1" applyBorder="1"/>
    <xf numFmtId="5" fontId="13" fillId="6" borderId="11" xfId="0" applyNumberFormat="1" applyFont="1" applyFill="1" applyBorder="1"/>
    <xf numFmtId="165" fontId="14" fillId="12" borderId="4" xfId="0" applyNumberFormat="1" applyFont="1" applyFill="1" applyBorder="1" applyAlignment="1" applyProtection="1">
      <alignment horizontal="center"/>
      <protection locked="0"/>
    </xf>
    <xf numFmtId="37" fontId="55" fillId="5" borderId="9" xfId="0" applyNumberFormat="1" applyFont="1" applyFill="1" applyBorder="1"/>
    <xf numFmtId="164" fontId="11" fillId="0" borderId="0" xfId="0" applyFont="1" applyAlignment="1">
      <alignment horizontal="left" wrapText="1"/>
    </xf>
    <xf numFmtId="37" fontId="56" fillId="0" borderId="0" xfId="39" applyNumberFormat="1" applyFont="1" applyFill="1" applyBorder="1" applyAlignment="1" applyProtection="1">
      <alignment horizontal="right"/>
      <protection locked="0"/>
    </xf>
    <xf numFmtId="166" fontId="56" fillId="0" borderId="0" xfId="39" applyNumberFormat="1" applyFont="1" applyFill="1" applyBorder="1" applyAlignment="1" applyProtection="1">
      <alignment horizontal="center"/>
      <protection locked="0"/>
    </xf>
    <xf numFmtId="174" fontId="57" fillId="0" borderId="0" xfId="0" applyNumberFormat="1" applyFont="1" applyAlignment="1">
      <alignment horizontal="right"/>
    </xf>
    <xf numFmtId="174" fontId="57" fillId="0" borderId="0" xfId="0" applyNumberFormat="1" applyFont="1"/>
    <xf numFmtId="174" fontId="56" fillId="0" borderId="0" xfId="0" applyNumberFormat="1" applyFont="1" applyProtection="1">
      <protection locked="0"/>
    </xf>
    <xf numFmtId="174" fontId="58" fillId="0" borderId="0" xfId="0" applyNumberFormat="1" applyFont="1"/>
    <xf numFmtId="170" fontId="27" fillId="13" borderId="14" xfId="0" applyNumberFormat="1" applyFont="1" applyFill="1" applyBorder="1"/>
    <xf numFmtId="37" fontId="26" fillId="0" borderId="0" xfId="0" applyNumberFormat="1" applyFont="1" applyProtection="1">
      <protection locked="0"/>
    </xf>
    <xf numFmtId="37" fontId="61" fillId="0" borderId="1" xfId="0" applyNumberFormat="1" applyFont="1" applyBorder="1"/>
    <xf numFmtId="167" fontId="62" fillId="0" borderId="0" xfId="0" applyNumberFormat="1" applyFont="1" applyAlignment="1" applyProtection="1">
      <alignment horizontal="center"/>
      <protection locked="0"/>
    </xf>
    <xf numFmtId="37" fontId="18" fillId="0" borderId="0" xfId="2" applyNumberFormat="1" applyFont="1" applyFill="1" applyBorder="1" applyAlignment="1" applyProtection="1">
      <alignment horizontal="center" vertical="center"/>
      <protection locked="0"/>
    </xf>
    <xf numFmtId="0" fontId="34" fillId="7" borderId="0" xfId="82" applyFont="1" applyFill="1" applyAlignment="1">
      <alignment horizontal="center"/>
    </xf>
    <xf numFmtId="164" fontId="66" fillId="4" borderId="17" xfId="0" applyFont="1" applyFill="1" applyBorder="1" applyAlignment="1">
      <alignment horizontal="left"/>
    </xf>
    <xf numFmtId="37" fontId="71" fillId="0" borderId="0" xfId="0" applyNumberFormat="1" applyFont="1" applyAlignment="1">
      <alignment horizontal="left"/>
    </xf>
    <xf numFmtId="37" fontId="73" fillId="0" borderId="0" xfId="0" applyNumberFormat="1" applyFont="1" applyAlignment="1">
      <alignment horizontal="left"/>
    </xf>
    <xf numFmtId="0" fontId="75" fillId="0" borderId="0" xfId="83"/>
    <xf numFmtId="0" fontId="76" fillId="0" borderId="0" xfId="83" applyFont="1"/>
    <xf numFmtId="7" fontId="77" fillId="8" borderId="21" xfId="83" applyNumberFormat="1" applyFont="1" applyFill="1" applyBorder="1" applyAlignment="1">
      <alignment horizontal="right" vertical="center"/>
    </xf>
    <xf numFmtId="7" fontId="78" fillId="0" borderId="21" xfId="83" applyNumberFormat="1" applyFont="1" applyBorder="1" applyAlignment="1">
      <alignment horizontal="right" vertical="center"/>
    </xf>
    <xf numFmtId="0" fontId="78" fillId="0" borderId="21" xfId="83" applyFont="1" applyBorder="1" applyAlignment="1">
      <alignment horizontal="left" vertical="center"/>
    </xf>
    <xf numFmtId="7" fontId="77" fillId="8" borderId="22" xfId="83" applyNumberFormat="1" applyFont="1" applyFill="1" applyBorder="1" applyAlignment="1">
      <alignment horizontal="right" vertical="center"/>
    </xf>
    <xf numFmtId="7" fontId="78" fillId="0" borderId="22" xfId="83" applyNumberFormat="1" applyFont="1" applyBorder="1" applyAlignment="1">
      <alignment horizontal="right" vertical="center"/>
    </xf>
    <xf numFmtId="0" fontId="78" fillId="0" borderId="22" xfId="83" applyFont="1" applyBorder="1" applyAlignment="1">
      <alignment horizontal="left" indent="1"/>
    </xf>
    <xf numFmtId="0" fontId="78" fillId="0" borderId="22" xfId="83" applyFont="1" applyBorder="1" applyAlignment="1">
      <alignment horizontal="left" indent="2"/>
    </xf>
    <xf numFmtId="7" fontId="32" fillId="8" borderId="0" xfId="83" applyNumberFormat="1" applyFont="1" applyFill="1" applyAlignment="1">
      <alignment horizontal="right" vertical="center"/>
    </xf>
    <xf numFmtId="7" fontId="79" fillId="0" borderId="0" xfId="83" applyNumberFormat="1" applyFont="1" applyAlignment="1">
      <alignment horizontal="right" vertical="center"/>
    </xf>
    <xf numFmtId="0" fontId="79" fillId="0" borderId="0" xfId="83" applyFont="1" applyAlignment="1">
      <alignment horizontal="left" indent="3"/>
    </xf>
    <xf numFmtId="7" fontId="80" fillId="0" borderId="0" xfId="83" applyNumberFormat="1" applyFont="1" applyAlignment="1">
      <alignment horizontal="right" vertical="center"/>
    </xf>
    <xf numFmtId="7" fontId="78" fillId="0" borderId="0" xfId="83" applyNumberFormat="1" applyFont="1" applyAlignment="1">
      <alignment horizontal="right" vertical="center"/>
    </xf>
    <xf numFmtId="0" fontId="78" fillId="0" borderId="0" xfId="83" applyFont="1" applyAlignment="1">
      <alignment horizontal="left" indent="2"/>
    </xf>
    <xf numFmtId="0" fontId="78" fillId="0" borderId="0" xfId="83" applyFont="1" applyAlignment="1">
      <alignment horizontal="left" indent="1"/>
    </xf>
    <xf numFmtId="0" fontId="78" fillId="0" borderId="0" xfId="83" applyFont="1" applyAlignment="1">
      <alignment horizontal="left" vertical="center"/>
    </xf>
    <xf numFmtId="0" fontId="78" fillId="0" borderId="22" xfId="83" applyFont="1" applyBorder="1" applyAlignment="1">
      <alignment horizontal="left" indent="3"/>
    </xf>
    <xf numFmtId="0" fontId="79" fillId="0" borderId="0" xfId="83" applyFont="1" applyAlignment="1">
      <alignment horizontal="left" indent="4"/>
    </xf>
    <xf numFmtId="0" fontId="78" fillId="0" borderId="0" xfId="83" applyFont="1" applyAlignment="1">
      <alignment horizontal="left" indent="3"/>
    </xf>
    <xf numFmtId="0" fontId="78" fillId="0" borderId="22" xfId="83" applyFont="1" applyBorder="1" applyAlignment="1">
      <alignment horizontal="left" indent="4"/>
    </xf>
    <xf numFmtId="0" fontId="79" fillId="0" borderId="0" xfId="83" applyFont="1" applyAlignment="1">
      <alignment horizontal="left" indent="5"/>
    </xf>
    <xf numFmtId="0" fontId="78" fillId="0" borderId="0" xfId="83" applyFont="1" applyAlignment="1">
      <alignment horizontal="left" indent="4"/>
    </xf>
    <xf numFmtId="0" fontId="78" fillId="0" borderId="21" xfId="83" applyFont="1" applyBorder="1" applyAlignment="1">
      <alignment horizontal="left" indent="1"/>
    </xf>
    <xf numFmtId="7" fontId="77" fillId="8" borderId="0" xfId="83" applyNumberFormat="1" applyFont="1" applyFill="1" applyAlignment="1">
      <alignment horizontal="right" vertical="center"/>
    </xf>
    <xf numFmtId="0" fontId="79" fillId="0" borderId="0" xfId="83" applyFont="1" applyAlignment="1">
      <alignment horizontal="left" indent="2"/>
    </xf>
    <xf numFmtId="0" fontId="81" fillId="8" borderId="1" xfId="83" applyFont="1" applyFill="1" applyBorder="1" applyAlignment="1">
      <alignment horizontal="right"/>
    </xf>
    <xf numFmtId="0" fontId="82" fillId="8" borderId="1" xfId="83" applyFont="1" applyFill="1" applyBorder="1" applyAlignment="1">
      <alignment horizontal="left"/>
    </xf>
    <xf numFmtId="0" fontId="82" fillId="8" borderId="1" xfId="83" applyFont="1" applyFill="1" applyBorder="1" applyAlignment="1">
      <alignment horizontal="right"/>
    </xf>
    <xf numFmtId="43" fontId="19" fillId="0" borderId="9" xfId="1" applyFont="1" applyFill="1" applyBorder="1" applyProtection="1">
      <protection locked="0"/>
    </xf>
    <xf numFmtId="43" fontId="27" fillId="0" borderId="13" xfId="1" applyFont="1" applyFill="1" applyBorder="1" applyProtection="1"/>
    <xf numFmtId="164" fontId="14" fillId="5" borderId="9" xfId="0" applyFont="1" applyFill="1" applyBorder="1" applyAlignment="1">
      <alignment horizontal="center" wrapText="1"/>
    </xf>
    <xf numFmtId="165" fontId="14" fillId="12" borderId="23" xfId="0" applyNumberFormat="1" applyFont="1" applyFill="1" applyBorder="1" applyAlignment="1" applyProtection="1">
      <alignment horizontal="center"/>
      <protection locked="0"/>
    </xf>
    <xf numFmtId="165" fontId="14" fillId="12" borderId="7" xfId="0" applyNumberFormat="1" applyFont="1" applyFill="1" applyBorder="1" applyAlignment="1" applyProtection="1">
      <alignment horizontal="center"/>
      <protection locked="0"/>
    </xf>
    <xf numFmtId="37" fontId="11" fillId="11" borderId="1" xfId="0" applyNumberFormat="1" applyFont="1" applyFill="1" applyBorder="1" applyProtection="1">
      <protection locked="0"/>
    </xf>
    <xf numFmtId="37" fontId="11" fillId="11" borderId="9" xfId="0" applyNumberFormat="1" applyFont="1" applyFill="1" applyBorder="1" applyProtection="1">
      <protection locked="0"/>
    </xf>
    <xf numFmtId="37" fontId="11" fillId="10" borderId="6" xfId="0" applyNumberFormat="1" applyFont="1" applyFill="1" applyBorder="1" applyAlignment="1">
      <alignment horizontal="center" wrapText="1"/>
    </xf>
    <xf numFmtId="5" fontId="11" fillId="10" borderId="11" xfId="0" applyNumberFormat="1" applyFont="1" applyFill="1" applyBorder="1"/>
    <xf numFmtId="5" fontId="49" fillId="10" borderId="11" xfId="0" applyNumberFormat="1" applyFont="1" applyFill="1" applyBorder="1"/>
    <xf numFmtId="3" fontId="13" fillId="13" borderId="10" xfId="0" applyNumberFormat="1" applyFont="1" applyFill="1" applyBorder="1" applyAlignment="1">
      <alignment horizontal="right"/>
    </xf>
    <xf numFmtId="165" fontId="17" fillId="3" borderId="5" xfId="0" applyNumberFormat="1" applyFont="1" applyFill="1" applyBorder="1" applyAlignment="1" applyProtection="1">
      <alignment horizontal="center"/>
      <protection locked="0"/>
    </xf>
    <xf numFmtId="37" fontId="19" fillId="0" borderId="1" xfId="0" applyNumberFormat="1" applyFont="1" applyBorder="1" applyAlignment="1" applyProtection="1">
      <alignment horizontal="right"/>
      <protection locked="0"/>
    </xf>
    <xf numFmtId="43" fontId="19" fillId="0" borderId="1" xfId="1" applyFont="1" applyFill="1" applyBorder="1" applyAlignment="1" applyProtection="1">
      <alignment horizontal="right"/>
      <protection locked="0"/>
    </xf>
    <xf numFmtId="169" fontId="44" fillId="14" borderId="1" xfId="2" applyNumberFormat="1" applyFont="1" applyFill="1" applyBorder="1" applyProtection="1">
      <protection locked="0"/>
    </xf>
    <xf numFmtId="169" fontId="26" fillId="0" borderId="0" xfId="2" applyNumberFormat="1" applyFont="1" applyFill="1" applyBorder="1" applyProtection="1">
      <protection locked="0"/>
    </xf>
    <xf numFmtId="0" fontId="85" fillId="0" borderId="0" xfId="85"/>
    <xf numFmtId="7" fontId="86" fillId="0" borderId="22" xfId="85" applyNumberFormat="1" applyFont="1" applyBorder="1" applyAlignment="1">
      <alignment horizontal="right" vertical="center"/>
    </xf>
    <xf numFmtId="0" fontId="86" fillId="0" borderId="22" xfId="85" applyFont="1" applyBorder="1" applyAlignment="1">
      <alignment horizontal="left" indent="1"/>
    </xf>
    <xf numFmtId="0" fontId="86" fillId="0" borderId="22" xfId="85" applyFont="1" applyBorder="1" applyAlignment="1">
      <alignment horizontal="left" indent="2"/>
    </xf>
    <xf numFmtId="7" fontId="87" fillId="0" borderId="0" xfId="85" applyNumberFormat="1" applyFont="1" applyAlignment="1">
      <alignment horizontal="right" vertical="center"/>
    </xf>
    <xf numFmtId="0" fontId="87" fillId="0" borderId="0" xfId="85" applyFont="1" applyAlignment="1">
      <alignment horizontal="left" indent="3"/>
    </xf>
    <xf numFmtId="7" fontId="86" fillId="0" borderId="0" xfId="85" applyNumberFormat="1" applyFont="1" applyAlignment="1">
      <alignment horizontal="right" vertical="center"/>
    </xf>
    <xf numFmtId="0" fontId="86" fillId="0" borderId="0" xfId="85" applyFont="1" applyAlignment="1">
      <alignment horizontal="left" indent="2"/>
    </xf>
    <xf numFmtId="0" fontId="86" fillId="0" borderId="0" xfId="85" applyFont="1" applyAlignment="1">
      <alignment horizontal="left" indent="1"/>
    </xf>
    <xf numFmtId="0" fontId="86" fillId="0" borderId="0" xfId="85" applyFont="1" applyAlignment="1">
      <alignment horizontal="left" vertical="center"/>
    </xf>
    <xf numFmtId="0" fontId="86" fillId="0" borderId="22" xfId="85" applyFont="1" applyBorder="1" applyAlignment="1">
      <alignment horizontal="left" indent="3"/>
    </xf>
    <xf numFmtId="0" fontId="87" fillId="0" borderId="0" xfId="85" applyFont="1" applyAlignment="1">
      <alignment horizontal="left" indent="4"/>
    </xf>
    <xf numFmtId="0" fontId="86" fillId="0" borderId="0" xfId="85" applyFont="1" applyAlignment="1">
      <alignment horizontal="left" indent="3"/>
    </xf>
    <xf numFmtId="0" fontId="86" fillId="0" borderId="22" xfId="85" applyFont="1" applyBorder="1" applyAlignment="1">
      <alignment horizontal="left" indent="4"/>
    </xf>
    <xf numFmtId="0" fontId="87" fillId="0" borderId="0" xfId="85" applyFont="1" applyAlignment="1">
      <alignment horizontal="left" indent="5"/>
    </xf>
    <xf numFmtId="0" fontId="86" fillId="0" borderId="0" xfId="85" applyFont="1" applyAlignment="1">
      <alignment horizontal="left" indent="4"/>
    </xf>
    <xf numFmtId="0" fontId="87" fillId="0" borderId="0" xfId="85" applyFont="1" applyAlignment="1">
      <alignment horizontal="left" indent="2"/>
    </xf>
    <xf numFmtId="0" fontId="81" fillId="8" borderId="1" xfId="83" applyFont="1" applyFill="1" applyBorder="1" applyAlignment="1">
      <alignment horizontal="left"/>
    </xf>
    <xf numFmtId="0" fontId="22" fillId="0" borderId="0" xfId="85" applyFont="1"/>
    <xf numFmtId="0" fontId="90" fillId="8" borderId="1" xfId="83" applyFont="1" applyFill="1" applyBorder="1" applyAlignment="1">
      <alignment horizontal="right"/>
    </xf>
    <xf numFmtId="7" fontId="91" fillId="0" borderId="0" xfId="85" applyNumberFormat="1" applyFont="1" applyAlignment="1">
      <alignment horizontal="right" vertical="center"/>
    </xf>
    <xf numFmtId="0" fontId="93" fillId="0" borderId="0" xfId="85" applyFont="1"/>
    <xf numFmtId="7" fontId="92" fillId="8" borderId="0" xfId="85" applyNumberFormat="1" applyFont="1" applyFill="1" applyAlignment="1">
      <alignment horizontal="right" vertical="center"/>
    </xf>
    <xf numFmtId="7" fontId="91" fillId="8" borderId="22" xfId="85" applyNumberFormat="1" applyFont="1" applyFill="1" applyBorder="1" applyAlignment="1">
      <alignment horizontal="right" vertical="center"/>
    </xf>
    <xf numFmtId="7" fontId="91" fillId="8" borderId="0" xfId="85" applyNumberFormat="1" applyFont="1" applyFill="1" applyAlignment="1">
      <alignment horizontal="right" vertical="center"/>
    </xf>
    <xf numFmtId="0" fontId="86" fillId="0" borderId="24" xfId="85" applyFont="1" applyBorder="1" applyAlignment="1">
      <alignment horizontal="left" indent="1"/>
    </xf>
    <xf numFmtId="7" fontId="86" fillId="0" borderId="24" xfId="85" applyNumberFormat="1" applyFont="1" applyBorder="1" applyAlignment="1">
      <alignment horizontal="right" vertical="center"/>
    </xf>
    <xf numFmtId="7" fontId="91" fillId="8" borderId="24" xfId="85" applyNumberFormat="1" applyFont="1" applyFill="1" applyBorder="1" applyAlignment="1">
      <alignment horizontal="right" vertical="center"/>
    </xf>
    <xf numFmtId="7" fontId="91" fillId="10" borderId="22" xfId="85" applyNumberFormat="1" applyFont="1" applyFill="1" applyBorder="1" applyAlignment="1">
      <alignment horizontal="right" vertical="center"/>
    </xf>
    <xf numFmtId="0" fontId="77" fillId="0" borderId="24" xfId="85" applyFont="1" applyBorder="1" applyAlignment="1">
      <alignment horizontal="left" vertical="center"/>
    </xf>
    <xf numFmtId="7" fontId="77" fillId="0" borderId="24" xfId="85" applyNumberFormat="1" applyFont="1" applyBorder="1" applyAlignment="1">
      <alignment horizontal="right" vertical="center"/>
    </xf>
    <xf numFmtId="0" fontId="77" fillId="0" borderId="0" xfId="85" applyFont="1" applyAlignment="1">
      <alignment horizontal="left" vertical="center"/>
    </xf>
    <xf numFmtId="7" fontId="77" fillId="0" borderId="0" xfId="85" applyNumberFormat="1" applyFont="1" applyAlignment="1">
      <alignment horizontal="right" vertical="center"/>
    </xf>
    <xf numFmtId="0" fontId="77" fillId="0" borderId="25" xfId="85" applyFont="1" applyBorder="1" applyAlignment="1">
      <alignment horizontal="left" vertical="center"/>
    </xf>
    <xf numFmtId="7" fontId="77" fillId="0" borderId="25" xfId="85" applyNumberFormat="1" applyFont="1" applyBorder="1" applyAlignment="1">
      <alignment horizontal="right" vertical="center"/>
    </xf>
    <xf numFmtId="7" fontId="91" fillId="8" borderId="25" xfId="85" applyNumberFormat="1" applyFont="1" applyFill="1" applyBorder="1" applyAlignment="1">
      <alignment horizontal="right" vertical="center"/>
    </xf>
    <xf numFmtId="0" fontId="80" fillId="10" borderId="22" xfId="85" applyFont="1" applyFill="1" applyBorder="1" applyAlignment="1">
      <alignment horizontal="left" indent="3"/>
    </xf>
    <xf numFmtId="7" fontId="80" fillId="10" borderId="22" xfId="85" applyNumberFormat="1" applyFont="1" applyFill="1" applyBorder="1" applyAlignment="1">
      <alignment horizontal="right" vertical="center"/>
    </xf>
    <xf numFmtId="0" fontId="80" fillId="10" borderId="22" xfId="85" applyFont="1" applyFill="1" applyBorder="1" applyAlignment="1">
      <alignment horizontal="left" indent="1"/>
    </xf>
    <xf numFmtId="3" fontId="13" fillId="6" borderId="10" xfId="0" applyNumberFormat="1" applyFont="1" applyFill="1" applyBorder="1"/>
    <xf numFmtId="169" fontId="26" fillId="6" borderId="0" xfId="2" applyNumberFormat="1" applyFont="1" applyFill="1" applyBorder="1" applyProtection="1">
      <protection locked="0"/>
    </xf>
    <xf numFmtId="37" fontId="38" fillId="6" borderId="9" xfId="0" applyNumberFormat="1" applyFont="1" applyFill="1" applyBorder="1" applyProtection="1">
      <protection locked="0"/>
    </xf>
    <xf numFmtId="43" fontId="38" fillId="6" borderId="9" xfId="1" applyFont="1" applyFill="1" applyBorder="1" applyProtection="1">
      <protection locked="0"/>
    </xf>
    <xf numFmtId="37" fontId="38" fillId="6" borderId="1" xfId="0" applyNumberFormat="1" applyFont="1" applyFill="1" applyBorder="1" applyProtection="1">
      <protection locked="0"/>
    </xf>
    <xf numFmtId="169" fontId="38" fillId="6" borderId="9" xfId="1" applyNumberFormat="1" applyFont="1" applyFill="1" applyBorder="1" applyProtection="1">
      <protection locked="0"/>
    </xf>
    <xf numFmtId="43" fontId="38" fillId="6" borderId="1" xfId="1" applyFont="1" applyFill="1" applyBorder="1" applyProtection="1">
      <protection locked="0"/>
    </xf>
    <xf numFmtId="5" fontId="11" fillId="6" borderId="1" xfId="0" applyNumberFormat="1" applyFont="1" applyFill="1" applyBorder="1"/>
    <xf numFmtId="5" fontId="11" fillId="16" borderId="11" xfId="0" applyNumberFormat="1" applyFont="1" applyFill="1" applyBorder="1"/>
    <xf numFmtId="37" fontId="13" fillId="16" borderId="0" xfId="0" applyNumberFormat="1" applyFont="1" applyFill="1" applyAlignment="1">
      <alignment horizontal="left"/>
    </xf>
    <xf numFmtId="37" fontId="13" fillId="16" borderId="0" xfId="0" applyNumberFormat="1" applyFont="1" applyFill="1" applyAlignment="1">
      <alignment horizontal="center"/>
    </xf>
    <xf numFmtId="37" fontId="13" fillId="16" borderId="0" xfId="0" applyNumberFormat="1" applyFont="1" applyFill="1" applyAlignment="1">
      <alignment horizontal="right"/>
    </xf>
    <xf numFmtId="169" fontId="38" fillId="16" borderId="1" xfId="1" applyNumberFormat="1" applyFont="1" applyFill="1" applyBorder="1" applyProtection="1">
      <protection locked="0"/>
    </xf>
    <xf numFmtId="165" fontId="60" fillId="0" borderId="0" xfId="0" applyNumberFormat="1" applyFont="1"/>
    <xf numFmtId="171" fontId="38" fillId="6" borderId="0" xfId="0" applyNumberFormat="1" applyFont="1" applyFill="1" applyAlignment="1" applyProtection="1">
      <alignment horizontal="center" vertical="center" wrapText="1"/>
      <protection locked="0"/>
    </xf>
    <xf numFmtId="3" fontId="13" fillId="6" borderId="10" xfId="0" applyNumberFormat="1" applyFont="1" applyFill="1" applyBorder="1" applyAlignment="1">
      <alignment horizontal="right"/>
    </xf>
    <xf numFmtId="37" fontId="94" fillId="0" borderId="11" xfId="0" applyNumberFormat="1" applyFont="1" applyBorder="1" applyAlignment="1">
      <alignment horizontal="right"/>
    </xf>
    <xf numFmtId="168" fontId="62" fillId="0" borderId="0" xfId="0" applyNumberFormat="1" applyFont="1" applyProtection="1">
      <protection locked="0"/>
    </xf>
    <xf numFmtId="14" fontId="96" fillId="3" borderId="3" xfId="0" applyNumberFormat="1" applyFont="1" applyFill="1" applyBorder="1" applyAlignment="1">
      <alignment horizontal="center" wrapText="1"/>
    </xf>
    <xf numFmtId="164" fontId="11" fillId="0" borderId="0" xfId="0" applyFont="1" applyAlignment="1">
      <alignment horizontal="right" vertical="top" wrapText="1"/>
    </xf>
    <xf numFmtId="165" fontId="97" fillId="0" borderId="0" xfId="0" applyNumberFormat="1" applyFont="1"/>
    <xf numFmtId="5" fontId="38" fillId="6" borderId="11" xfId="0" applyNumberFormat="1" applyFont="1" applyFill="1" applyBorder="1"/>
    <xf numFmtId="37" fontId="38" fillId="6" borderId="10" xfId="0" applyNumberFormat="1" applyFont="1" applyFill="1" applyBorder="1"/>
    <xf numFmtId="170" fontId="27" fillId="0" borderId="26" xfId="0" applyNumberFormat="1" applyFont="1" applyBorder="1"/>
    <xf numFmtId="170" fontId="27" fillId="6" borderId="26" xfId="0" applyNumberFormat="1" applyFont="1" applyFill="1" applyBorder="1"/>
    <xf numFmtId="170" fontId="46" fillId="6" borderId="26" xfId="0" applyNumberFormat="1" applyFont="1" applyFill="1" applyBorder="1"/>
    <xf numFmtId="43" fontId="46" fillId="6" borderId="26" xfId="1" applyFont="1" applyFill="1" applyBorder="1" applyProtection="1"/>
    <xf numFmtId="9" fontId="46" fillId="6" borderId="26" xfId="48" applyFont="1" applyFill="1" applyBorder="1" applyProtection="1"/>
    <xf numFmtId="170" fontId="27" fillId="0" borderId="27" xfId="0" applyNumberFormat="1" applyFont="1" applyBorder="1"/>
    <xf numFmtId="37" fontId="54" fillId="6" borderId="19" xfId="0" applyNumberFormat="1" applyFont="1" applyFill="1" applyBorder="1"/>
    <xf numFmtId="170" fontId="27" fillId="13" borderId="26" xfId="0" applyNumberFormat="1" applyFont="1" applyFill="1" applyBorder="1"/>
    <xf numFmtId="37" fontId="13" fillId="13" borderId="9" xfId="0" applyNumberFormat="1" applyFont="1" applyFill="1" applyBorder="1" applyProtection="1">
      <protection locked="0"/>
    </xf>
    <xf numFmtId="170" fontId="27" fillId="13" borderId="28" xfId="0" applyNumberFormat="1" applyFont="1" applyFill="1" applyBorder="1"/>
    <xf numFmtId="37" fontId="101" fillId="6" borderId="9" xfId="0" applyNumberFormat="1" applyFont="1" applyFill="1" applyBorder="1"/>
    <xf numFmtId="170" fontId="46" fillId="0" borderId="26" xfId="0" applyNumberFormat="1" applyFont="1" applyBorder="1"/>
    <xf numFmtId="170" fontId="26" fillId="6" borderId="28" xfId="0" applyNumberFormat="1" applyFont="1" applyFill="1" applyBorder="1"/>
    <xf numFmtId="170" fontId="46" fillId="6" borderId="28" xfId="0" applyNumberFormat="1" applyFont="1" applyFill="1" applyBorder="1"/>
    <xf numFmtId="37" fontId="24" fillId="0" borderId="29" xfId="4" applyNumberFormat="1" applyFont="1" applyBorder="1" applyAlignment="1">
      <alignment horizontal="center" wrapText="1"/>
    </xf>
    <xf numFmtId="169" fontId="38" fillId="6" borderId="0" xfId="2" applyNumberFormat="1" applyFont="1" applyFill="1" applyBorder="1" applyProtection="1"/>
    <xf numFmtId="3" fontId="38" fillId="6" borderId="10" xfId="0" applyNumberFormat="1" applyFont="1" applyFill="1" applyBorder="1" applyAlignment="1">
      <alignment horizontal="right"/>
    </xf>
    <xf numFmtId="37" fontId="94" fillId="0" borderId="29" xfId="0" applyNumberFormat="1" applyFont="1" applyBorder="1" applyAlignment="1" applyProtection="1">
      <alignment horizontal="right"/>
      <protection locked="0"/>
    </xf>
    <xf numFmtId="169" fontId="38" fillId="6" borderId="29" xfId="1" applyNumberFormat="1" applyFont="1" applyFill="1" applyBorder="1" applyAlignment="1" applyProtection="1">
      <alignment horizontal="right"/>
      <protection locked="0"/>
    </xf>
    <xf numFmtId="43" fontId="38" fillId="6" borderId="29" xfId="1" applyFont="1" applyFill="1" applyBorder="1" applyAlignment="1" applyProtection="1">
      <alignment horizontal="right"/>
      <protection locked="0"/>
    </xf>
    <xf numFmtId="37" fontId="38" fillId="6" borderId="29" xfId="0" applyNumberFormat="1" applyFont="1" applyFill="1" applyBorder="1" applyAlignment="1" applyProtection="1">
      <alignment horizontal="right"/>
      <protection locked="0"/>
    </xf>
    <xf numFmtId="43" fontId="94" fillId="6" borderId="29" xfId="1" applyFont="1" applyFill="1" applyBorder="1" applyAlignment="1" applyProtection="1">
      <alignment horizontal="right"/>
      <protection locked="0"/>
    </xf>
    <xf numFmtId="164" fontId="40" fillId="6" borderId="29" xfId="0" applyFont="1" applyFill="1" applyBorder="1" applyAlignment="1" applyProtection="1">
      <alignment horizontal="center" vertical="center"/>
      <protection locked="0"/>
    </xf>
    <xf numFmtId="165" fontId="40" fillId="6" borderId="30" xfId="0" applyNumberFormat="1" applyFont="1" applyFill="1" applyBorder="1" applyAlignment="1" applyProtection="1">
      <alignment horizontal="center"/>
      <protection locked="0"/>
    </xf>
    <xf numFmtId="49" fontId="99" fillId="8" borderId="31" xfId="88" applyNumberFormat="1" applyFont="1" applyFill="1" applyBorder="1" applyAlignment="1" applyProtection="1">
      <alignment horizontal="center"/>
      <protection locked="0"/>
    </xf>
    <xf numFmtId="175" fontId="94" fillId="0" borderId="29" xfId="0" applyNumberFormat="1" applyFont="1" applyBorder="1" applyAlignment="1" applyProtection="1">
      <alignment horizontal="center" vertical="center"/>
      <protection locked="0"/>
    </xf>
    <xf numFmtId="37" fontId="19" fillId="0" borderId="29" xfId="0" applyNumberFormat="1" applyFont="1" applyBorder="1" applyAlignment="1" applyProtection="1">
      <alignment horizontal="center" vertical="center"/>
      <protection locked="0"/>
    </xf>
    <xf numFmtId="164" fontId="38" fillId="6" borderId="29" xfId="0" applyFont="1" applyFill="1" applyBorder="1" applyAlignment="1" applyProtection="1">
      <alignment horizontal="center" vertical="center" wrapText="1"/>
      <protection locked="0"/>
    </xf>
    <xf numFmtId="165" fontId="97" fillId="0" borderId="2" xfId="0" applyNumberFormat="1" applyFont="1" applyBorder="1"/>
    <xf numFmtId="37" fontId="38" fillId="4" borderId="0" xfId="0" applyNumberFormat="1" applyFont="1" applyFill="1" applyProtection="1">
      <protection locked="0"/>
    </xf>
    <xf numFmtId="37" fontId="38" fillId="4" borderId="0" xfId="0" applyNumberFormat="1" applyFont="1" applyFill="1" applyAlignment="1">
      <alignment horizontal="left"/>
    </xf>
    <xf numFmtId="164" fontId="11" fillId="0" borderId="0" xfId="0" applyFont="1" applyAlignment="1">
      <alignment horizontal="right" vertical="top" wrapText="1"/>
    </xf>
    <xf numFmtId="164" fontId="69" fillId="2" borderId="0" xfId="0" applyFont="1" applyFill="1" applyAlignment="1">
      <alignment horizontal="center" vertical="center" wrapText="1"/>
    </xf>
    <xf numFmtId="165" fontId="64" fillId="0" borderId="0" xfId="0" applyNumberFormat="1" applyFont="1" applyAlignment="1">
      <alignment horizontal="center" vertical="center"/>
    </xf>
    <xf numFmtId="165" fontId="98" fillId="0" borderId="2" xfId="0" applyNumberFormat="1" applyFont="1" applyBorder="1" applyAlignment="1">
      <alignment horizontal="center"/>
    </xf>
    <xf numFmtId="49" fontId="99" fillId="8" borderId="31" xfId="88" applyNumberFormat="1" applyFont="1" applyFill="1" applyBorder="1" applyAlignment="1" applyProtection="1">
      <alignment horizontal="center"/>
      <protection locked="0"/>
    </xf>
    <xf numFmtId="164" fontId="95" fillId="15" borderId="4" xfId="0" applyFont="1" applyFill="1" applyBorder="1" applyAlignment="1">
      <alignment horizontal="center" vertical="center" wrapText="1"/>
    </xf>
    <xf numFmtId="164" fontId="95" fillId="15" borderId="7" xfId="0" applyFont="1" applyFill="1" applyBorder="1" applyAlignment="1">
      <alignment horizontal="center" vertical="center" wrapText="1"/>
    </xf>
    <xf numFmtId="164" fontId="40" fillId="10" borderId="17" xfId="0" applyFont="1" applyFill="1" applyBorder="1" applyAlignment="1" applyProtection="1">
      <alignment horizontal="center" vertical="center"/>
      <protection locked="0"/>
    </xf>
    <xf numFmtId="164" fontId="40" fillId="10" borderId="8" xfId="0" applyFont="1" applyFill="1" applyBorder="1" applyAlignment="1" applyProtection="1">
      <alignment horizontal="center" vertical="center"/>
      <protection locked="0"/>
    </xf>
    <xf numFmtId="164" fontId="11" fillId="0" borderId="0" xfId="0" applyFont="1" applyAlignment="1">
      <alignment horizontal="left" wrapText="1"/>
    </xf>
    <xf numFmtId="37" fontId="51" fillId="16" borderId="0" xfId="0" applyNumberFormat="1" applyFont="1" applyFill="1" applyAlignment="1">
      <alignment horizontal="right" wrapText="1"/>
    </xf>
    <xf numFmtId="165" fontId="59" fillId="0" borderId="0" xfId="0" applyNumberFormat="1" applyFont="1" applyAlignment="1">
      <alignment horizontal="center"/>
    </xf>
    <xf numFmtId="165" fontId="60" fillId="0" borderId="0" xfId="0" applyNumberFormat="1" applyFont="1" applyAlignment="1">
      <alignment horizontal="center"/>
    </xf>
    <xf numFmtId="164" fontId="65" fillId="9" borderId="4" xfId="0" applyFont="1" applyFill="1" applyBorder="1" applyAlignment="1">
      <alignment horizontal="center" wrapText="1"/>
    </xf>
    <xf numFmtId="164" fontId="65" fillId="9" borderId="7" xfId="0" applyFont="1" applyFill="1" applyBorder="1" applyAlignment="1">
      <alignment horizontal="center" wrapText="1"/>
    </xf>
    <xf numFmtId="164" fontId="68" fillId="7" borderId="0" xfId="0" applyFont="1" applyFill="1" applyAlignment="1">
      <alignment horizontal="center"/>
    </xf>
    <xf numFmtId="164" fontId="69" fillId="2" borderId="0" xfId="0" applyFont="1" applyFill="1" applyAlignment="1">
      <alignment horizontal="center" wrapText="1"/>
    </xf>
    <xf numFmtId="164" fontId="69" fillId="2" borderId="20" xfId="0" applyFont="1" applyFill="1" applyBorder="1" applyAlignment="1">
      <alignment horizontal="center" wrapText="1"/>
    </xf>
    <xf numFmtId="0" fontId="89" fillId="0" borderId="0" xfId="85" applyFont="1" applyAlignment="1">
      <alignment horizontal="center"/>
    </xf>
    <xf numFmtId="0" fontId="88" fillId="0" borderId="0" xfId="85" applyFont="1" applyAlignment="1">
      <alignment horizontal="center"/>
    </xf>
    <xf numFmtId="0" fontId="84" fillId="0" borderId="0" xfId="83" applyFont="1" applyAlignment="1">
      <alignment horizontal="center"/>
    </xf>
    <xf numFmtId="0" fontId="83" fillId="0" borderId="0" xfId="83" applyFont="1" applyAlignment="1">
      <alignment horizontal="center"/>
    </xf>
    <xf numFmtId="169" fontId="44" fillId="6" borderId="29" xfId="2" applyNumberFormat="1" applyFont="1" applyFill="1" applyBorder="1" applyProtection="1">
      <protection locked="0"/>
    </xf>
    <xf numFmtId="170" fontId="26" fillId="6" borderId="32" xfId="0" applyNumberFormat="1" applyFont="1" applyFill="1" applyBorder="1"/>
    <xf numFmtId="170" fontId="27" fillId="6" borderId="32" xfId="0" applyNumberFormat="1" applyFont="1" applyFill="1" applyBorder="1"/>
    <xf numFmtId="37" fontId="104" fillId="6" borderId="9" xfId="0" applyNumberFormat="1" applyFont="1" applyFill="1" applyBorder="1" applyProtection="1">
      <protection locked="0"/>
    </xf>
    <xf numFmtId="170" fontId="46" fillId="6" borderId="32" xfId="0" applyNumberFormat="1" applyFont="1" applyFill="1" applyBorder="1"/>
    <xf numFmtId="43" fontId="46" fillId="6" borderId="32" xfId="1" applyFont="1" applyFill="1" applyBorder="1" applyProtection="1"/>
    <xf numFmtId="41" fontId="38" fillId="6" borderId="9" xfId="1" applyNumberFormat="1" applyFont="1" applyFill="1" applyBorder="1" applyProtection="1">
      <protection locked="0"/>
    </xf>
  </cellXfs>
  <cellStyles count="89">
    <cellStyle name="Comma" xfId="1" builtinId="3"/>
    <cellStyle name="Comma 2" xfId="2" xr:uid="{00000000-0005-0000-0000-000001000000}"/>
    <cellStyle name="Comma 2 2" xfId="34" xr:uid="{00000000-0005-0000-0000-000002000000}"/>
    <cellStyle name="Comma 3" xfId="30" xr:uid="{00000000-0005-0000-0000-000003000000}"/>
    <cellStyle name="Comma 3 2" xfId="39" xr:uid="{00000000-0005-0000-0000-000004000000}"/>
    <cellStyle name="Comma 4" xfId="49" xr:uid="{00000000-0005-0000-0000-000005000000}"/>
    <cellStyle name="Comma 4 2" xfId="50" xr:uid="{00000000-0005-0000-0000-000006000000}"/>
    <cellStyle name="Currency 2" xfId="3" xr:uid="{00000000-0005-0000-0000-000008000000}"/>
    <cellStyle name="Currency 2 2" xfId="35" xr:uid="{00000000-0005-0000-0000-000009000000}"/>
    <cellStyle name="Currency 3" xfId="31" xr:uid="{00000000-0005-0000-0000-00000A000000}"/>
    <cellStyle name="Currency 3 2" xfId="51" xr:uid="{00000000-0005-0000-0000-00000B000000}"/>
    <cellStyle name="Currency 4" xfId="52" xr:uid="{00000000-0005-0000-0000-00000C000000}"/>
    <cellStyle name="Currency 4 2" xfId="53" xr:uid="{00000000-0005-0000-0000-00000D000000}"/>
    <cellStyle name="Excel Built-in Normal 1" xfId="82" xr:uid="{A1000144-B2FC-4234-B593-FF6E1C306C12}"/>
    <cellStyle name="Normal" xfId="0" builtinId="0"/>
    <cellStyle name="Normal 10" xfId="4" xr:uid="{00000000-0005-0000-0000-00000F000000}"/>
    <cellStyle name="Normal 10 2" xfId="54" xr:uid="{00000000-0005-0000-0000-000010000000}"/>
    <cellStyle name="Normal 11" xfId="27" xr:uid="{00000000-0005-0000-0000-000011000000}"/>
    <cellStyle name="Normal 11 2" xfId="40" xr:uid="{00000000-0005-0000-0000-000012000000}"/>
    <cellStyle name="Normal 12" xfId="28" xr:uid="{00000000-0005-0000-0000-000013000000}"/>
    <cellStyle name="Normal 13" xfId="29" xr:uid="{00000000-0005-0000-0000-000014000000}"/>
    <cellStyle name="Normal 13 2" xfId="41" xr:uid="{00000000-0005-0000-0000-000015000000}"/>
    <cellStyle name="Normal 13 2 2" xfId="86" xr:uid="{5FF8332C-3106-4468-A225-C8E574F9D831}"/>
    <cellStyle name="Normal 13 2 3" xfId="87" xr:uid="{7AE98557-59EB-46CD-90B3-D4CA28CE9F1C}"/>
    <cellStyle name="Normal 13 2 4" xfId="88" xr:uid="{1859D141-E82D-4E3A-8B33-C77450E9BB30}"/>
    <cellStyle name="Normal 14" xfId="42" xr:uid="{00000000-0005-0000-0000-000016000000}"/>
    <cellStyle name="Normal 14 2" xfId="43" xr:uid="{00000000-0005-0000-0000-000017000000}"/>
    <cellStyle name="Normal 15" xfId="44" xr:uid="{00000000-0005-0000-0000-000018000000}"/>
    <cellStyle name="Normal 15 2" xfId="45" xr:uid="{00000000-0005-0000-0000-000019000000}"/>
    <cellStyle name="Normal 16" xfId="46" xr:uid="{00000000-0005-0000-0000-00001A000000}"/>
    <cellStyle name="Normal 16 2" xfId="47" xr:uid="{00000000-0005-0000-0000-00001B000000}"/>
    <cellStyle name="Normal 17" xfId="55" xr:uid="{00000000-0005-0000-0000-00001C000000}"/>
    <cellStyle name="Normal 18" xfId="56" xr:uid="{00000000-0005-0000-0000-00001D000000}"/>
    <cellStyle name="Normal 19" xfId="57" xr:uid="{00000000-0005-0000-0000-00001E000000}"/>
    <cellStyle name="Normal 2" xfId="5" xr:uid="{00000000-0005-0000-0000-00001F000000}"/>
    <cellStyle name="Normal 2 2" xfId="6" xr:uid="{00000000-0005-0000-0000-000020000000}"/>
    <cellStyle name="Normal 2 2 2" xfId="7" xr:uid="{00000000-0005-0000-0000-000021000000}"/>
    <cellStyle name="Normal 2 2 3" xfId="8" xr:uid="{00000000-0005-0000-0000-000022000000}"/>
    <cellStyle name="Normal 2 3" xfId="9" xr:uid="{00000000-0005-0000-0000-000023000000}"/>
    <cellStyle name="Normal 2 3 2" xfId="58" xr:uid="{00000000-0005-0000-0000-000024000000}"/>
    <cellStyle name="Normal 2 3 2 2" xfId="59" xr:uid="{00000000-0005-0000-0000-000025000000}"/>
    <cellStyle name="Normal 2 3 3" xfId="60" xr:uid="{00000000-0005-0000-0000-000026000000}"/>
    <cellStyle name="Normal 2 4" xfId="10" xr:uid="{00000000-0005-0000-0000-000027000000}"/>
    <cellStyle name="Normal 2 4 2" xfId="61" xr:uid="{00000000-0005-0000-0000-000028000000}"/>
    <cellStyle name="Normal 2 5" xfId="33" xr:uid="{00000000-0005-0000-0000-000029000000}"/>
    <cellStyle name="Normal 20" xfId="62" xr:uid="{00000000-0005-0000-0000-00002A000000}"/>
    <cellStyle name="Normal 21" xfId="63" xr:uid="{00000000-0005-0000-0000-00002B000000}"/>
    <cellStyle name="Normal 21 2" xfId="84" xr:uid="{16635BB0-60D3-4D30-BA3E-BC500A4580C4}"/>
    <cellStyle name="Normal 22" xfId="64" xr:uid="{00000000-0005-0000-0000-00002C000000}"/>
    <cellStyle name="Normal 23" xfId="65" xr:uid="{00000000-0005-0000-0000-00002D000000}"/>
    <cellStyle name="Normal 24" xfId="66" xr:uid="{00000000-0005-0000-0000-00002E000000}"/>
    <cellStyle name="Normal 25" xfId="67" xr:uid="{00000000-0005-0000-0000-00002F000000}"/>
    <cellStyle name="Normal 26" xfId="68" xr:uid="{00000000-0005-0000-0000-000030000000}"/>
    <cellStyle name="Normal 27" xfId="69" xr:uid="{00000000-0005-0000-0000-000031000000}"/>
    <cellStyle name="Normal 28" xfId="70" xr:uid="{00000000-0005-0000-0000-000032000000}"/>
    <cellStyle name="Normal 29" xfId="83" xr:uid="{6C75BEC0-B5D2-4B2A-B788-7AEFA7123AB4}"/>
    <cellStyle name="Normal 3" xfId="11" xr:uid="{00000000-0005-0000-0000-000033000000}"/>
    <cellStyle name="Normal 3 2" xfId="12" xr:uid="{00000000-0005-0000-0000-000034000000}"/>
    <cellStyle name="Normal 3 2 2" xfId="13" xr:uid="{00000000-0005-0000-0000-000035000000}"/>
    <cellStyle name="Normal 3 2 2 2" xfId="71" xr:uid="{00000000-0005-0000-0000-000036000000}"/>
    <cellStyle name="Normal 3 2 3" xfId="14" xr:uid="{00000000-0005-0000-0000-000037000000}"/>
    <cellStyle name="Normal 3 3" xfId="15" xr:uid="{00000000-0005-0000-0000-000038000000}"/>
    <cellStyle name="Normal 3 3 2" xfId="72" xr:uid="{00000000-0005-0000-0000-000039000000}"/>
    <cellStyle name="Normal 3 4" xfId="16" xr:uid="{00000000-0005-0000-0000-00003A000000}"/>
    <cellStyle name="Normal 3 5" xfId="36" xr:uid="{00000000-0005-0000-0000-00003B000000}"/>
    <cellStyle name="Normal 30" xfId="85" xr:uid="{8E4ABC57-4FF8-4829-B0DC-48B3A34E1F42}"/>
    <cellStyle name="Normal 4" xfId="17" xr:uid="{00000000-0005-0000-0000-00003C000000}"/>
    <cellStyle name="Normal 4 2" xfId="38" xr:uid="{00000000-0005-0000-0000-00003D000000}"/>
    <cellStyle name="Normal 4 2 2" xfId="73" xr:uid="{00000000-0005-0000-0000-00003E000000}"/>
    <cellStyle name="Normal 4 3" xfId="74" xr:uid="{00000000-0005-0000-0000-00003F000000}"/>
    <cellStyle name="Normal 5" xfId="18" xr:uid="{00000000-0005-0000-0000-000040000000}"/>
    <cellStyle name="Normal 5 2" xfId="19" xr:uid="{00000000-0005-0000-0000-000041000000}"/>
    <cellStyle name="Normal 5 3" xfId="20" xr:uid="{00000000-0005-0000-0000-000042000000}"/>
    <cellStyle name="Normal 6" xfId="21" xr:uid="{00000000-0005-0000-0000-000043000000}"/>
    <cellStyle name="Normal 6 2" xfId="22" xr:uid="{00000000-0005-0000-0000-000044000000}"/>
    <cellStyle name="Normal 6 2 2" xfId="75" xr:uid="{00000000-0005-0000-0000-000045000000}"/>
    <cellStyle name="Normal 6 3" xfId="23" xr:uid="{00000000-0005-0000-0000-000046000000}"/>
    <cellStyle name="Normal 7" xfId="24" xr:uid="{00000000-0005-0000-0000-000047000000}"/>
    <cellStyle name="Normal 7 2" xfId="76" xr:uid="{00000000-0005-0000-0000-000048000000}"/>
    <cellStyle name="Normal 8" xfId="25" xr:uid="{00000000-0005-0000-0000-000049000000}"/>
    <cellStyle name="Normal 8 2" xfId="77" xr:uid="{00000000-0005-0000-0000-00004A000000}"/>
    <cellStyle name="Normal 9" xfId="26" xr:uid="{00000000-0005-0000-0000-00004B000000}"/>
    <cellStyle name="Normal 9 2" xfId="78" xr:uid="{00000000-0005-0000-0000-00004C000000}"/>
    <cellStyle name="Percent" xfId="48" builtinId="5"/>
    <cellStyle name="Percent 2" xfId="37" xr:uid="{00000000-0005-0000-0000-00004E000000}"/>
    <cellStyle name="Percent 3" xfId="32" xr:uid="{00000000-0005-0000-0000-00004F000000}"/>
    <cellStyle name="Percent 3 2" xfId="79" xr:uid="{00000000-0005-0000-0000-000050000000}"/>
    <cellStyle name="Percent 4" xfId="80" xr:uid="{00000000-0005-0000-0000-000051000000}"/>
    <cellStyle name="Percent 4 2" xfId="81" xr:uid="{00000000-0005-0000-0000-000052000000}"/>
  </cellStyles>
  <dxfs count="0"/>
  <tableStyles count="0" defaultTableStyle="TableStyleMedium2" defaultPivotStyle="PivotStyleLight16"/>
  <colors>
    <mruColors>
      <color rgb="FFCCCCFF"/>
      <color rgb="FFFFFF99"/>
      <color rgb="FF0000CC"/>
      <color rgb="FFFFCC99"/>
      <color rgb="FFCCFFCC"/>
      <color rgb="FF006600"/>
      <color rgb="FF00CC00"/>
      <color rgb="FFFF66FF"/>
      <color rgb="FFCCFF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70883</xdr:colOff>
      <xdr:row>55</xdr:row>
      <xdr:rowOff>620233</xdr:rowOff>
    </xdr:from>
    <xdr:to>
      <xdr:col>19</xdr:col>
      <xdr:colOff>336696</xdr:colOff>
      <xdr:row>81</xdr:row>
      <xdr:rowOff>53162</xdr:rowOff>
    </xdr:to>
    <xdr:sp macro="" textlink="">
      <xdr:nvSpPr>
        <xdr:cNvPr id="5" name="Arrow: Curved Left 4">
          <a:extLst>
            <a:ext uri="{FF2B5EF4-FFF2-40B4-BE49-F238E27FC236}">
              <a16:creationId xmlns:a16="http://schemas.microsoft.com/office/drawing/2014/main" id="{FBD0E08C-DFFB-41B3-B1F7-77EE7D8361EF}"/>
            </a:ext>
          </a:extLst>
        </xdr:cNvPr>
        <xdr:cNvSpPr/>
      </xdr:nvSpPr>
      <xdr:spPr>
        <a:xfrm>
          <a:off x="27307953" y="23657442"/>
          <a:ext cx="1063255" cy="742506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1027814</xdr:colOff>
      <xdr:row>59</xdr:row>
      <xdr:rowOff>215881</xdr:rowOff>
    </xdr:from>
    <xdr:to>
      <xdr:col>16</xdr:col>
      <xdr:colOff>1399953</xdr:colOff>
      <xdr:row>83</xdr:row>
      <xdr:rowOff>124047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14D5B2-ADB1-6CA5-6087-9F53CC0A6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1535" y="24759369"/>
          <a:ext cx="23497953" cy="70319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593340</xdr:colOff>
      <xdr:row>6</xdr:row>
      <xdr:rowOff>62120</xdr:rowOff>
    </xdr:from>
    <xdr:ext cx="184730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69C9191-4D84-4097-B7C4-062F9EE6DF38}"/>
            </a:ext>
          </a:extLst>
        </xdr:cNvPr>
        <xdr:cNvSpPr/>
      </xdr:nvSpPr>
      <xdr:spPr>
        <a:xfrm>
          <a:off x="9724916" y="308527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rgbClr val="C00000"/>
            </a:solidFill>
            <a:effectLst/>
          </a:endParaRPr>
        </a:p>
      </xdr:txBody>
    </xdr:sp>
    <xdr:clientData/>
  </xdr:oneCellAnchor>
  <xdr:twoCellAnchor editAs="oneCell">
    <xdr:from>
      <xdr:col>21</xdr:col>
      <xdr:colOff>253117</xdr:colOff>
      <xdr:row>3</xdr:row>
      <xdr:rowOff>182217</xdr:rowOff>
    </xdr:from>
    <xdr:to>
      <xdr:col>42</xdr:col>
      <xdr:colOff>201588</xdr:colOff>
      <xdr:row>10</xdr:row>
      <xdr:rowOff>87004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5C61DE-3672-419F-8EDE-68CA4C058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98769" y="2368826"/>
          <a:ext cx="17971428" cy="3019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%20Documents/R%20&amp;%20E%20Worksheets/2018%20R&amp;E%20WkShts/LOD/LOD%202018%20Accounting%20R&amp;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eff_uccr_org/Documents/Downloads/Email%20#3 - Site Specific Worksheets/TOC/1. TOC 2022 Budget - StaffingBenefitsPlanWksh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CCR_Office/OfficeDocuments/Accounting/1.%20Accounting%20Documents/R%20&amp;%20E%20Worksheets/0.%202021%20R&amp;E%20Wkshts/TOC/1.%20TOC%20R&amp;E/2021-08%20TOC%20R&amp;E%20Projection%20@%2010-05-2021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D 2018 Accounting R&amp;E"/>
      <sheetName val="LOD 2018 Approved Budget R&amp;E"/>
      <sheetName val="LOD 2017 Accounting R&amp;E"/>
      <sheetName val="Input Wrksht "/>
      <sheetName val="12 Month 2017"/>
      <sheetName val="Months"/>
      <sheetName val="RTS"/>
      <sheetName val="LOD YTD with PY"/>
      <sheetName val="YTD with PY  "/>
    </sheetNames>
    <sheetDataSet>
      <sheetData sheetId="0" refreshError="1"/>
      <sheetData sheetId="1" refreshError="1"/>
      <sheetData sheetId="2" refreshError="1"/>
      <sheetData sheetId="3" refreshError="1">
        <row r="3">
          <cell r="D3" t="str">
            <v>Dec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9">
          <cell r="J19">
            <v>0</v>
          </cell>
          <cell r="L19">
            <v>0</v>
          </cell>
        </row>
        <row r="23">
          <cell r="J23">
            <v>0</v>
          </cell>
          <cell r="L23">
            <v>0</v>
          </cell>
        </row>
        <row r="29">
          <cell r="J29">
            <v>0</v>
          </cell>
          <cell r="L2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1 Benefits Wk "/>
      <sheetName val="2021 Staffing Plan"/>
      <sheetName val="2021 Staff Strucure "/>
    </sheetNames>
    <sheetDataSet>
      <sheetData sheetId="0">
        <row r="1">
          <cell r="L1">
            <v>2022</v>
          </cell>
        </row>
        <row r="2">
          <cell r="K2" t="str">
            <v>2022 Budget</v>
          </cell>
        </row>
        <row r="3">
          <cell r="K3" t="str">
            <v>Update for 2022 Budget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 2021 R&amp;E - Revised "/>
      <sheetName val="TOC R&amp;E @ 06-30-2021 NS"/>
      <sheetName val="TOC 2021 Budget - File"/>
      <sheetName val="TOC Monthly IncomeStmt 2020"/>
      <sheetName val="TOC R&amp;E @ 05-31-2021 NS"/>
    </sheetNames>
    <sheetDataSet>
      <sheetData sheetId="0">
        <row r="7">
          <cell r="Q7">
            <v>54419.020000000004</v>
          </cell>
        </row>
        <row r="18">
          <cell r="Q18">
            <v>1547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5202729.app.netsuite.com/app/reporting/reportrunner.nl?fromreport=667&amp;regtx,tranline,kacct,x,alltranline5,IN,x,x=1166&amp;cr=293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6466F-BCE3-4F32-9DA6-BE176C9CB2DD}">
  <sheetPr syncVertical="1" syncRef="D7" transitionEvaluation="1">
    <tabColor rgb="FFFF66FF"/>
    <pageSetUpPr fitToPage="1"/>
  </sheetPr>
  <dimension ref="A1:X89"/>
  <sheetViews>
    <sheetView tabSelected="1" zoomScale="43" zoomScaleNormal="43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X5" sqref="X5"/>
    </sheetView>
  </sheetViews>
  <sheetFormatPr defaultColWidth="7.81640625" defaultRowHeight="24.6" x14ac:dyDescent="0.4"/>
  <cols>
    <col min="1" max="1" width="27.453125" style="8" customWidth="1"/>
    <col min="2" max="2" width="19" style="8" customWidth="1"/>
    <col min="3" max="3" width="23.1796875" style="8" customWidth="1"/>
    <col min="4" max="11" width="18.1796875" style="8" customWidth="1"/>
    <col min="12" max="12" width="23.453125" style="8" customWidth="1"/>
    <col min="13" max="14" width="18.1796875" style="8" customWidth="1"/>
    <col min="15" max="15" width="24.26953125" style="8" customWidth="1"/>
    <col min="16" max="16" width="4" style="8" customWidth="1"/>
    <col min="17" max="17" width="21.54296875" style="8" customWidth="1"/>
    <col min="18" max="18" width="1.6328125" style="8" customWidth="1"/>
    <col min="19" max="16384" width="7.81640625" style="8"/>
  </cols>
  <sheetData>
    <row r="1" spans="1:18" s="3" customFormat="1" ht="50.4" customHeight="1" x14ac:dyDescent="0.6">
      <c r="A1" s="267" t="s">
        <v>201</v>
      </c>
      <c r="B1" s="267"/>
      <c r="C1" s="267"/>
      <c r="D1" s="268" t="s">
        <v>28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"/>
    </row>
    <row r="2" spans="1:18" s="3" customFormat="1" ht="45" customHeight="1" thickBot="1" x14ac:dyDescent="0.65">
      <c r="A2" s="267"/>
      <c r="B2" s="267"/>
      <c r="C2" s="267"/>
      <c r="E2" s="8"/>
      <c r="F2" s="232"/>
      <c r="G2" s="232"/>
      <c r="H2" s="269" t="s">
        <v>33</v>
      </c>
      <c r="I2" s="269"/>
      <c r="J2" s="269"/>
      <c r="K2" s="269"/>
      <c r="L2" s="269"/>
      <c r="M2" s="269"/>
      <c r="N2" s="263"/>
      <c r="O2"/>
      <c r="P2" s="5"/>
      <c r="Q2" s="8"/>
      <c r="R2" s="1"/>
    </row>
    <row r="3" spans="1:18" s="3" customFormat="1" ht="55.2" customHeight="1" thickBot="1" x14ac:dyDescent="0.8">
      <c r="A3" s="267"/>
      <c r="B3" s="267"/>
      <c r="C3" s="267"/>
      <c r="D3" s="262" t="s">
        <v>0</v>
      </c>
      <c r="E3" s="261" t="s">
        <v>1</v>
      </c>
      <c r="F3" s="260" t="s">
        <v>2</v>
      </c>
      <c r="H3" s="270" t="s">
        <v>204</v>
      </c>
      <c r="I3" s="270"/>
      <c r="J3" s="270"/>
      <c r="K3" s="270"/>
      <c r="L3" s="270"/>
      <c r="M3" s="270"/>
      <c r="N3" s="259"/>
      <c r="O3"/>
      <c r="P3" s="5"/>
      <c r="Q3" s="225"/>
      <c r="R3" s="225"/>
    </row>
    <row r="4" spans="1:18" s="3" customFormat="1" ht="43.2" customHeight="1" x14ac:dyDescent="0.5">
      <c r="A4" s="125" t="s">
        <v>202</v>
      </c>
      <c r="B4" s="90">
        <v>44953</v>
      </c>
      <c r="C4" s="230" t="s">
        <v>3</v>
      </c>
      <c r="D4" s="273" t="s">
        <v>3</v>
      </c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5"/>
      <c r="Q4" s="271" t="s">
        <v>195</v>
      </c>
      <c r="R4" s="4"/>
    </row>
    <row r="5" spans="1:18" ht="64.95" customHeight="1" thickBot="1" x14ac:dyDescent="0.55000000000000004">
      <c r="B5" s="59" t="s">
        <v>3</v>
      </c>
      <c r="C5" s="59"/>
      <c r="D5" s="258" t="s">
        <v>203</v>
      </c>
      <c r="E5" s="258" t="s">
        <v>203</v>
      </c>
      <c r="F5" s="258" t="s">
        <v>203</v>
      </c>
      <c r="G5" s="258" t="s">
        <v>203</v>
      </c>
      <c r="H5" s="258" t="s">
        <v>203</v>
      </c>
      <c r="I5" s="258" t="s">
        <v>203</v>
      </c>
      <c r="J5" s="258" t="s">
        <v>203</v>
      </c>
      <c r="K5" s="258" t="s">
        <v>203</v>
      </c>
      <c r="L5" s="258" t="s">
        <v>203</v>
      </c>
      <c r="M5" s="258" t="s">
        <v>203</v>
      </c>
      <c r="N5" s="258" t="s">
        <v>203</v>
      </c>
      <c r="O5" s="258" t="s">
        <v>30</v>
      </c>
      <c r="P5" s="66"/>
      <c r="Q5" s="272"/>
      <c r="R5" s="28"/>
    </row>
    <row r="6" spans="1:18" s="3" customFormat="1" ht="49.2" x14ac:dyDescent="0.4">
      <c r="A6" s="10" t="s">
        <v>4</v>
      </c>
      <c r="B6" s="10"/>
      <c r="C6" s="10"/>
      <c r="D6" s="226" t="s">
        <v>5</v>
      </c>
      <c r="E6" s="226" t="s">
        <v>6</v>
      </c>
      <c r="F6" s="226" t="s">
        <v>7</v>
      </c>
      <c r="G6" s="226" t="s">
        <v>8</v>
      </c>
      <c r="H6" s="257" t="s">
        <v>9</v>
      </c>
      <c r="I6" s="257" t="s">
        <v>10</v>
      </c>
      <c r="J6" s="257" t="s">
        <v>11</v>
      </c>
      <c r="K6" s="257" t="s">
        <v>12</v>
      </c>
      <c r="L6" s="257" t="s">
        <v>13</v>
      </c>
      <c r="M6" s="257" t="s">
        <v>14</v>
      </c>
      <c r="N6" s="257" t="s">
        <v>15</v>
      </c>
      <c r="O6" s="257" t="s">
        <v>16</v>
      </c>
      <c r="P6" s="5"/>
      <c r="Q6" s="249" t="s">
        <v>32</v>
      </c>
      <c r="R6" s="68"/>
    </row>
    <row r="7" spans="1:18" s="15" customFormat="1" ht="34.5" customHeight="1" x14ac:dyDescent="0.45">
      <c r="A7" s="16" t="s">
        <v>51</v>
      </c>
      <c r="B7" s="70"/>
      <c r="C7" s="69"/>
      <c r="D7" s="255">
        <v>0</v>
      </c>
      <c r="E7" s="255">
        <v>533</v>
      </c>
      <c r="F7" s="255">
        <v>5073</v>
      </c>
      <c r="G7" s="255">
        <v>6319.5</v>
      </c>
      <c r="H7" s="255">
        <v>7142</v>
      </c>
      <c r="I7" s="255">
        <v>31200.25</v>
      </c>
      <c r="J7" s="255">
        <v>46177.75</v>
      </c>
      <c r="K7" s="255">
        <v>23519</v>
      </c>
      <c r="L7" s="255">
        <v>10306</v>
      </c>
      <c r="M7" s="255">
        <v>12589</v>
      </c>
      <c r="N7" s="255">
        <v>1916</v>
      </c>
      <c r="O7" s="255">
        <v>6236</v>
      </c>
      <c r="P7" s="61"/>
      <c r="Q7" s="252">
        <f>SUM(D7:O7)</f>
        <v>151011.5</v>
      </c>
      <c r="R7" s="71" t="s">
        <v>3</v>
      </c>
    </row>
    <row r="8" spans="1:18" s="15" customFormat="1" ht="35.1" customHeight="1" x14ac:dyDescent="0.45">
      <c r="A8" s="16" t="s">
        <v>52</v>
      </c>
      <c r="B8" s="70"/>
      <c r="C8" s="69"/>
      <c r="D8" s="255">
        <v>0</v>
      </c>
      <c r="E8" s="255">
        <v>1295.2</v>
      </c>
      <c r="F8" s="255">
        <v>8613.2000000000007</v>
      </c>
      <c r="G8" s="255">
        <v>11806</v>
      </c>
      <c r="H8" s="255">
        <v>13636.94</v>
      </c>
      <c r="I8" s="255">
        <v>38550.75</v>
      </c>
      <c r="J8" s="255">
        <v>50745</v>
      </c>
      <c r="K8" s="255">
        <v>31478</v>
      </c>
      <c r="L8" s="255">
        <v>23142.65</v>
      </c>
      <c r="M8" s="255">
        <v>26144.799999999999</v>
      </c>
      <c r="N8" s="255">
        <v>6232</v>
      </c>
      <c r="O8" s="255">
        <v>17104.5</v>
      </c>
      <c r="P8" s="61"/>
      <c r="Q8" s="252">
        <f>SUM(D8:O8)</f>
        <v>228749.03999999998</v>
      </c>
      <c r="R8" s="71" t="s">
        <v>3</v>
      </c>
    </row>
    <row r="9" spans="1:18" s="15" customFormat="1" ht="35.1" customHeight="1" x14ac:dyDescent="0.4">
      <c r="A9" s="84" t="s">
        <v>198</v>
      </c>
      <c r="B9" s="264"/>
      <c r="C9" s="265"/>
      <c r="D9" s="254">
        <v>0</v>
      </c>
      <c r="E9" s="254">
        <v>0</v>
      </c>
      <c r="F9" s="254">
        <v>0</v>
      </c>
      <c r="G9" s="254">
        <v>0</v>
      </c>
      <c r="H9" s="254">
        <v>0</v>
      </c>
      <c r="I9" s="253">
        <v>15700</v>
      </c>
      <c r="J9" s="256">
        <v>0</v>
      </c>
      <c r="K9" s="254">
        <v>0</v>
      </c>
      <c r="L9" s="256">
        <v>0</v>
      </c>
      <c r="M9" s="256">
        <v>0</v>
      </c>
      <c r="N9" s="256">
        <v>0</v>
      </c>
      <c r="O9" s="256">
        <v>0</v>
      </c>
      <c r="P9" s="61"/>
      <c r="Q9" s="252">
        <f>SUM(D9:O9)</f>
        <v>15700</v>
      </c>
      <c r="R9" s="71" t="s">
        <v>3</v>
      </c>
    </row>
    <row r="10" spans="1:18" s="15" customFormat="1" ht="34.5" customHeight="1" x14ac:dyDescent="0.4">
      <c r="A10" s="127" t="s">
        <v>53</v>
      </c>
      <c r="B10" s="70"/>
      <c r="C10" s="69"/>
      <c r="D10" s="254">
        <v>0</v>
      </c>
      <c r="E10" s="254">
        <v>0</v>
      </c>
      <c r="F10" s="254">
        <v>0</v>
      </c>
      <c r="G10" s="254">
        <v>0</v>
      </c>
      <c r="H10" s="255">
        <v>619.48</v>
      </c>
      <c r="I10" s="255">
        <v>3419.63</v>
      </c>
      <c r="J10" s="255">
        <f>4710+900</f>
        <v>5610</v>
      </c>
      <c r="K10" s="253">
        <v>-2547.5</v>
      </c>
      <c r="L10" s="255">
        <v>1443</v>
      </c>
      <c r="M10" s="255">
        <v>657.29</v>
      </c>
      <c r="N10" s="255">
        <v>-64</v>
      </c>
      <c r="O10" s="255">
        <v>-2991.91</v>
      </c>
      <c r="P10" s="61"/>
      <c r="Q10" s="252">
        <f>SUM(D10:O10)</f>
        <v>6145.9900000000016</v>
      </c>
      <c r="R10" s="71" t="s">
        <v>3</v>
      </c>
    </row>
    <row r="11" spans="1:18" s="15" customFormat="1" ht="35.1" customHeight="1" x14ac:dyDescent="0.4">
      <c r="A11" s="127" t="s">
        <v>196</v>
      </c>
      <c r="B11" s="127"/>
      <c r="C11" s="69"/>
      <c r="D11" s="254">
        <v>0</v>
      </c>
      <c r="E11" s="255">
        <v>-91.41</v>
      </c>
      <c r="F11" s="255">
        <v>-392.56</v>
      </c>
      <c r="G11" s="254">
        <v>0</v>
      </c>
      <c r="H11" s="254">
        <f>'[1]Input Wrksht '!J10</f>
        <v>0</v>
      </c>
      <c r="I11" s="253">
        <v>-1415.58</v>
      </c>
      <c r="J11" s="253">
        <v>-1660.99</v>
      </c>
      <c r="K11" s="254">
        <v>0</v>
      </c>
      <c r="L11" s="253">
        <v>-197.55</v>
      </c>
      <c r="M11" s="253">
        <v>0</v>
      </c>
      <c r="N11" s="253">
        <v>0</v>
      </c>
      <c r="O11" s="253">
        <v>-107.2</v>
      </c>
      <c r="P11" s="61"/>
      <c r="Q11" s="252">
        <f>SUM(D11:O11)</f>
        <v>-3865.29</v>
      </c>
      <c r="R11" s="71" t="s">
        <v>3</v>
      </c>
    </row>
    <row r="12" spans="1:18" s="15" customFormat="1" ht="19.2" customHeight="1" x14ac:dyDescent="0.4">
      <c r="A12" s="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40.799999999999997" customHeight="1" thickBot="1" x14ac:dyDescent="0.45">
      <c r="A13" s="2"/>
      <c r="B13" s="21" t="s">
        <v>18</v>
      </c>
      <c r="C13" s="21"/>
      <c r="D13" s="212">
        <f t="shared" ref="D13:N13" si="0">SUM(D7:D12)</f>
        <v>0</v>
      </c>
      <c r="E13" s="212">
        <f t="shared" si="0"/>
        <v>1736.79</v>
      </c>
      <c r="F13" s="212">
        <f t="shared" si="0"/>
        <v>13293.640000000001</v>
      </c>
      <c r="G13" s="212">
        <f t="shared" si="0"/>
        <v>18125.5</v>
      </c>
      <c r="H13" s="227">
        <f t="shared" si="0"/>
        <v>21398.420000000002</v>
      </c>
      <c r="I13" s="251">
        <f t="shared" si="0"/>
        <v>87455.05</v>
      </c>
      <c r="J13" s="227">
        <f t="shared" si="0"/>
        <v>100871.76</v>
      </c>
      <c r="K13" s="227">
        <f t="shared" si="0"/>
        <v>52449.5</v>
      </c>
      <c r="L13" s="227">
        <f t="shared" si="0"/>
        <v>34694.1</v>
      </c>
      <c r="M13" s="227">
        <f t="shared" si="0"/>
        <v>39391.090000000004</v>
      </c>
      <c r="N13" s="227">
        <f t="shared" si="0"/>
        <v>8084</v>
      </c>
      <c r="O13" s="227">
        <f>SUM(O7:O11)</f>
        <v>20241.39</v>
      </c>
      <c r="P13" s="61"/>
      <c r="Q13" s="228">
        <f>ROUND(SUM(Q7:Q11),-1)</f>
        <v>397740</v>
      </c>
      <c r="R13" s="71" t="s">
        <v>3</v>
      </c>
    </row>
    <row r="14" spans="1:18" s="2" customFormat="1" ht="19.2" customHeight="1" thickTop="1" x14ac:dyDescent="0.4">
      <c r="A14" s="74"/>
      <c r="B14" s="113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71"/>
    </row>
    <row r="15" spans="1:18" ht="30" customHeight="1" x14ac:dyDescent="0.4">
      <c r="A15" s="27" t="s">
        <v>186</v>
      </c>
      <c r="B15" s="123"/>
      <c r="C15" s="64"/>
      <c r="D15" s="213">
        <v>0</v>
      </c>
      <c r="E15" s="213">
        <v>35</v>
      </c>
      <c r="F15" s="213">
        <v>203</v>
      </c>
      <c r="G15" s="213">
        <v>282</v>
      </c>
      <c r="H15" s="213">
        <v>336</v>
      </c>
      <c r="I15" s="250">
        <v>1071</v>
      </c>
      <c r="J15" s="250">
        <v>1253</v>
      </c>
      <c r="K15" s="250">
        <v>824</v>
      </c>
      <c r="L15" s="250">
        <v>514</v>
      </c>
      <c r="M15" s="250">
        <v>587</v>
      </c>
      <c r="N15" s="250">
        <v>311</v>
      </c>
      <c r="O15" s="250">
        <v>246</v>
      </c>
      <c r="P15" s="5"/>
      <c r="Q15" s="288">
        <f>SUM(D15:O15)</f>
        <v>5662</v>
      </c>
      <c r="R15" s="71" t="s">
        <v>3</v>
      </c>
    </row>
    <row r="16" spans="1:18" ht="18" customHeight="1" x14ac:dyDescent="0.4">
      <c r="A16" s="75"/>
      <c r="B16" s="92"/>
      <c r="C16" s="93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</row>
    <row r="17" spans="1:18" s="25" customFormat="1" ht="54.6" customHeight="1" x14ac:dyDescent="0.4">
      <c r="A17" s="76" t="s">
        <v>19</v>
      </c>
      <c r="B17" s="29"/>
      <c r="C17" s="29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29" t="s">
        <v>3</v>
      </c>
      <c r="P17" s="61"/>
      <c r="Q17" s="249" t="s">
        <v>31</v>
      </c>
      <c r="R17" s="71" t="s">
        <v>3</v>
      </c>
    </row>
    <row r="18" spans="1:18" s="25" customFormat="1" ht="31.5" customHeight="1" x14ac:dyDescent="0.4">
      <c r="A18" s="33"/>
      <c r="B18" s="33" t="s">
        <v>3</v>
      </c>
      <c r="C18" s="33"/>
      <c r="D18" s="247" t="str">
        <f t="shared" ref="D18:O18" si="1">IF((+D$7+D$8)=0," ",D19/(+D$7+D$8))</f>
        <v xml:space="preserve"> </v>
      </c>
      <c r="E18" s="247">
        <f t="shared" si="1"/>
        <v>0.24067388688327315</v>
      </c>
      <c r="F18" s="247">
        <f t="shared" si="1"/>
        <v>0.23965746518390788</v>
      </c>
      <c r="G18" s="247">
        <f t="shared" si="1"/>
        <v>0.2399933794929795</v>
      </c>
      <c r="H18" s="247">
        <f t="shared" si="1"/>
        <v>0.24014699498626974</v>
      </c>
      <c r="I18" s="248">
        <f t="shared" si="1"/>
        <v>0.24272053447262404</v>
      </c>
      <c r="J18" s="247">
        <f t="shared" si="1"/>
        <v>0.23998493645712693</v>
      </c>
      <c r="K18" s="247">
        <f t="shared" si="1"/>
        <v>0.24001309162317944</v>
      </c>
      <c r="L18" s="247">
        <f t="shared" si="1"/>
        <v>0.2343891308019905</v>
      </c>
      <c r="M18" s="289">
        <f t="shared" si="1"/>
        <v>0.24010037744812024</v>
      </c>
      <c r="N18" s="289">
        <f t="shared" si="1"/>
        <v>0.24054982817869416</v>
      </c>
      <c r="O18" s="289">
        <f t="shared" si="1"/>
        <v>0.23992630834815021</v>
      </c>
      <c r="P18" s="5"/>
      <c r="Q18" s="246">
        <f>IF((+Q$7+Q$8)=0," ",Q19/(+Q$7+Q$8))</f>
        <v>0.24001967134342078</v>
      </c>
      <c r="R18" s="71" t="s">
        <v>3</v>
      </c>
    </row>
    <row r="19" spans="1:18" s="3" customFormat="1" ht="27" x14ac:dyDescent="0.5">
      <c r="A19" s="79" t="s">
        <v>55</v>
      </c>
      <c r="B19" s="79"/>
      <c r="C19" s="79"/>
      <c r="D19" s="105" t="s">
        <v>3</v>
      </c>
      <c r="E19" s="105">
        <f>ROUND((E7+E8)*24%,-1)</f>
        <v>440</v>
      </c>
      <c r="F19" s="105">
        <f>ROUND((F7+F8)*24%,-1)</f>
        <v>3280</v>
      </c>
      <c r="G19" s="105">
        <f>ROUND((G7+G8)*24%,-1)</f>
        <v>4350</v>
      </c>
      <c r="H19" s="105">
        <f>ROUND((H7+H8)*24%,-1)</f>
        <v>4990</v>
      </c>
      <c r="I19" s="245">
        <f>ROUND((I7+I8)*24%,-1)+190</f>
        <v>16930</v>
      </c>
      <c r="J19" s="105">
        <f>ROUND((J7+J8)*24%,-1)</f>
        <v>23260</v>
      </c>
      <c r="K19" s="105">
        <f>ROUND((K7+K8)*24%,-1)</f>
        <v>13200</v>
      </c>
      <c r="L19" s="105">
        <v>7840</v>
      </c>
      <c r="M19" s="105">
        <v>9300</v>
      </c>
      <c r="N19" s="105">
        <v>1960</v>
      </c>
      <c r="O19" s="105">
        <v>5600</v>
      </c>
      <c r="P19" s="81"/>
      <c r="Q19" s="80">
        <f>SUM(D19:O19)</f>
        <v>91150</v>
      </c>
      <c r="R19" s="71" t="s">
        <v>3</v>
      </c>
    </row>
    <row r="20" spans="1:18" s="33" customFormat="1" ht="27" customHeight="1" x14ac:dyDescent="0.4">
      <c r="A20" s="32"/>
      <c r="B20" s="32"/>
      <c r="C20" s="32"/>
      <c r="D20" s="290" t="str">
        <f t="shared" ref="D20" si="2">IF((+D$7+D$8)=0," ",(+D21+D22)/(+D$7+D$8))</f>
        <v xml:space="preserve"> </v>
      </c>
      <c r="E20" s="236">
        <f t="shared" ref="D20:O20" si="3">IF((+E$7+E$8)=0," ",(+E21+E22)/(+E$7+E$8))</f>
        <v>4.463514318031665</v>
      </c>
      <c r="F20" s="236">
        <f t="shared" si="3"/>
        <v>0.62505764269729247</v>
      </c>
      <c r="G20" s="236">
        <f t="shared" si="3"/>
        <v>0.37765563985650813</v>
      </c>
      <c r="H20" s="236">
        <f t="shared" si="3"/>
        <v>0.32148855954735694</v>
      </c>
      <c r="I20" s="237">
        <f t="shared" si="3"/>
        <v>0.19511631566692655</v>
      </c>
      <c r="J20" s="236">
        <f t="shared" si="3"/>
        <v>0.30253617081570144</v>
      </c>
      <c r="K20" s="236">
        <f t="shared" si="3"/>
        <v>0.20910524605689954</v>
      </c>
      <c r="L20" s="290">
        <f t="shared" si="3"/>
        <v>0.23103473533311508</v>
      </c>
      <c r="M20" s="290">
        <f t="shared" si="3"/>
        <v>0.13262318698397782</v>
      </c>
      <c r="N20" s="290">
        <f t="shared" si="3"/>
        <v>0.72017673048600883</v>
      </c>
      <c r="O20" s="290">
        <f t="shared" si="3"/>
        <v>0.4118163706861464</v>
      </c>
      <c r="P20" s="32"/>
      <c r="Q20" s="235">
        <f>IF((+Q$7+Q$8)=0," ",(+Q21+Q22)/(+Q$7+Q$8))</f>
        <v>0.3197076226250386</v>
      </c>
      <c r="R20" s="71" t="s">
        <v>3</v>
      </c>
    </row>
    <row r="21" spans="1:18" s="2" customFormat="1" ht="35.1" customHeight="1" x14ac:dyDescent="0.5">
      <c r="A21" s="16" t="s">
        <v>36</v>
      </c>
      <c r="B21" s="16"/>
      <c r="C21" s="16"/>
      <c r="D21" s="214">
        <v>8400</v>
      </c>
      <c r="E21" s="214">
        <v>8160</v>
      </c>
      <c r="F21" s="214">
        <v>8554.48</v>
      </c>
      <c r="G21" s="214">
        <v>6845</v>
      </c>
      <c r="H21" s="214">
        <v>6680</v>
      </c>
      <c r="I21" s="214">
        <v>13609.4</v>
      </c>
      <c r="J21" s="214">
        <v>29322.5</v>
      </c>
      <c r="K21" s="214">
        <v>11500</v>
      </c>
      <c r="L21" s="214">
        <v>7726.8</v>
      </c>
      <c r="M21" s="291">
        <v>5136</v>
      </c>
      <c r="N21" s="291">
        <v>5867</v>
      </c>
      <c r="O21" s="291">
        <v>9611</v>
      </c>
      <c r="P21" s="17"/>
      <c r="Q21" s="39">
        <f>SUM(D21:O21)</f>
        <v>121412.18000000001</v>
      </c>
      <c r="R21" s="71" t="s">
        <v>3</v>
      </c>
    </row>
    <row r="22" spans="1:18" s="33" customFormat="1" ht="27" customHeight="1" x14ac:dyDescent="0.4">
      <c r="A22" s="32"/>
      <c r="B22" s="32"/>
      <c r="C22" s="32"/>
      <c r="D22" s="292">
        <f t="shared" ref="D22" si="4">IF(+D$23=0," ",D23/+D$23)</f>
        <v>1</v>
      </c>
      <c r="E22" s="237">
        <f t="shared" ref="D22:O22" si="5">IF(+E$21=0," ",E23/+E$21)</f>
        <v>0.19687622549019607</v>
      </c>
      <c r="F22" s="237">
        <f t="shared" si="5"/>
        <v>0.18390948368574128</v>
      </c>
      <c r="G22" s="237">
        <f t="shared" si="5"/>
        <v>0.19730021913805698</v>
      </c>
      <c r="H22" s="237">
        <f t="shared" si="5"/>
        <v>0.19148952095808386</v>
      </c>
      <c r="I22" s="237">
        <f t="shared" si="5"/>
        <v>0.15813408379502403</v>
      </c>
      <c r="J22" s="237">
        <f t="shared" si="5"/>
        <v>0.1376499275300537</v>
      </c>
      <c r="K22" s="237">
        <f t="shared" si="5"/>
        <v>0.16121739130434781</v>
      </c>
      <c r="L22" s="292">
        <f t="shared" ref="L22" si="6">IF(+L$23=0," ",L23/+L$23)</f>
        <v>1</v>
      </c>
      <c r="M22" s="292">
        <f t="shared" ref="M22:O22" si="7">IF(+M$23=0," ",M23/+M$23)</f>
        <v>1</v>
      </c>
      <c r="N22" s="292">
        <f t="shared" si="7"/>
        <v>1</v>
      </c>
      <c r="O22" s="292">
        <f t="shared" si="7"/>
        <v>1</v>
      </c>
      <c r="P22" s="240"/>
      <c r="Q22" s="235">
        <f>IF(+Q$21=0," ",Q23/+Q$21)</f>
        <v>0.15941020085464241</v>
      </c>
      <c r="R22" s="71" t="s">
        <v>3</v>
      </c>
    </row>
    <row r="23" spans="1:18" s="15" customFormat="1" ht="34.5" customHeight="1" x14ac:dyDescent="0.45">
      <c r="A23" s="16" t="s">
        <v>48</v>
      </c>
      <c r="B23" s="16"/>
      <c r="C23" s="16"/>
      <c r="D23" s="214">
        <v>1639.74</v>
      </c>
      <c r="E23" s="214">
        <v>1606.51</v>
      </c>
      <c r="F23" s="214">
        <v>1573.25</v>
      </c>
      <c r="G23" s="214">
        <v>1350.52</v>
      </c>
      <c r="H23" s="214">
        <v>1279.1500000000001</v>
      </c>
      <c r="I23" s="214">
        <v>2152.11</v>
      </c>
      <c r="J23" s="214">
        <v>4036.24</v>
      </c>
      <c r="K23" s="214">
        <v>1854</v>
      </c>
      <c r="L23" s="214">
        <v>1284.9100000000001</v>
      </c>
      <c r="M23" s="214">
        <v>587</v>
      </c>
      <c r="N23" s="214">
        <v>660</v>
      </c>
      <c r="O23" s="214">
        <v>1330.91</v>
      </c>
      <c r="P23" s="17"/>
      <c r="Q23" s="39">
        <f>SUM(D23:O23)</f>
        <v>19354.34</v>
      </c>
      <c r="R23" s="71" t="s">
        <v>3</v>
      </c>
    </row>
    <row r="24" spans="1:18" s="33" customFormat="1" ht="27" customHeight="1" x14ac:dyDescent="0.4">
      <c r="A24" s="32"/>
      <c r="B24" s="32"/>
      <c r="C24" s="32"/>
      <c r="D24" s="292" t="str">
        <f t="shared" ref="D24" si="8">IF((+D$7+D$8)=0," ",D25/(+D$7+D$8))</f>
        <v xml:space="preserve"> </v>
      </c>
      <c r="E24" s="237">
        <f t="shared" ref="D24:O24" si="9">IF((+E$7+E$8)=0," ",E25/(+E$7+E$8))</f>
        <v>0</v>
      </c>
      <c r="F24" s="237">
        <f t="shared" si="9"/>
        <v>8.3295582411480173E-3</v>
      </c>
      <c r="G24" s="237">
        <f t="shared" si="9"/>
        <v>4.9377948194532567E-3</v>
      </c>
      <c r="H24" s="237">
        <f t="shared" si="9"/>
        <v>0</v>
      </c>
      <c r="I24" s="237">
        <f t="shared" si="9"/>
        <v>5.7346848073862745E-4</v>
      </c>
      <c r="J24" s="237">
        <f t="shared" si="9"/>
        <v>0</v>
      </c>
      <c r="K24" s="237">
        <f t="shared" si="9"/>
        <v>0</v>
      </c>
      <c r="L24" s="292">
        <f t="shared" si="9"/>
        <v>0</v>
      </c>
      <c r="M24" s="292">
        <f t="shared" si="9"/>
        <v>0</v>
      </c>
      <c r="N24" s="292">
        <f t="shared" si="9"/>
        <v>0</v>
      </c>
      <c r="O24" s="292">
        <f t="shared" si="9"/>
        <v>1.436387395300015E-2</v>
      </c>
      <c r="P24" s="32"/>
      <c r="Q24" s="235">
        <f>IF((+Q$7+Q$8)=0," ",(+Q25+Q26)/(+Q$7+Q$8))</f>
        <v>1.524865361113561E-3</v>
      </c>
      <c r="R24" s="71" t="s">
        <v>3</v>
      </c>
    </row>
    <row r="25" spans="1:18" s="15" customFormat="1" ht="35.1" customHeight="1" x14ac:dyDescent="0.45">
      <c r="A25" s="16" t="s">
        <v>49</v>
      </c>
      <c r="B25" s="16"/>
      <c r="C25" s="16"/>
      <c r="D25" s="214">
        <v>0</v>
      </c>
      <c r="E25" s="214">
        <v>0</v>
      </c>
      <c r="F25" s="214">
        <v>114</v>
      </c>
      <c r="G25" s="214">
        <v>89.5</v>
      </c>
      <c r="H25" s="214">
        <v>0</v>
      </c>
      <c r="I25" s="214">
        <v>40</v>
      </c>
      <c r="J25" s="214">
        <v>0</v>
      </c>
      <c r="K25" s="214">
        <v>0</v>
      </c>
      <c r="L25" s="214">
        <v>0</v>
      </c>
      <c r="M25" s="214">
        <v>0</v>
      </c>
      <c r="N25" s="214">
        <v>0</v>
      </c>
      <c r="O25" s="214">
        <v>335.26</v>
      </c>
      <c r="P25" s="17"/>
      <c r="Q25" s="39">
        <f>SUM(D25:O25)</f>
        <v>578.76</v>
      </c>
      <c r="R25" s="71" t="s">
        <v>3</v>
      </c>
    </row>
    <row r="26" spans="1:18" s="33" customFormat="1" ht="27" customHeight="1" x14ac:dyDescent="0.4">
      <c r="A26" s="32"/>
      <c r="B26" s="32"/>
      <c r="C26" s="32"/>
      <c r="D26" s="292" t="str">
        <f t="shared" ref="D26" si="10">IF(+D$7=0," ",D27/+D$7)</f>
        <v xml:space="preserve"> </v>
      </c>
      <c r="E26" s="237">
        <f t="shared" ref="D26:O26" si="11">IF(+E$7=0," ",E27/+E$7)</f>
        <v>0.92369606003752347</v>
      </c>
      <c r="F26" s="237">
        <f t="shared" si="11"/>
        <v>0.63590774689532825</v>
      </c>
      <c r="G26" s="237">
        <f t="shared" si="11"/>
        <v>0.17516417438088458</v>
      </c>
      <c r="H26" s="237">
        <f t="shared" si="11"/>
        <v>0.4125483057966956</v>
      </c>
      <c r="I26" s="237">
        <f t="shared" si="11"/>
        <v>0.33282521774665264</v>
      </c>
      <c r="J26" s="237">
        <f t="shared" si="11"/>
        <v>0.28877175696087404</v>
      </c>
      <c r="K26" s="237">
        <f t="shared" si="11"/>
        <v>0.18347081083379396</v>
      </c>
      <c r="L26" s="292">
        <f t="shared" si="11"/>
        <v>0.6442470405588977</v>
      </c>
      <c r="M26" s="292">
        <f t="shared" si="11"/>
        <v>0.23123361664945588</v>
      </c>
      <c r="N26" s="292">
        <f t="shared" si="11"/>
        <v>0.82843945720250523</v>
      </c>
      <c r="O26" s="292">
        <f t="shared" si="11"/>
        <v>0.29838999358563184</v>
      </c>
      <c r="P26" s="32"/>
      <c r="Q26" s="244">
        <f>IF(+Q$7=0," ",Q27/+Q$7)</f>
        <v>0.32369296378090417</v>
      </c>
      <c r="R26" s="71" t="s">
        <v>3</v>
      </c>
    </row>
    <row r="27" spans="1:18" s="15" customFormat="1" ht="35.1" customHeight="1" x14ac:dyDescent="0.45">
      <c r="A27" s="16" t="s">
        <v>37</v>
      </c>
      <c r="B27" s="16"/>
      <c r="C27" s="16"/>
      <c r="D27" s="214">
        <v>76.930000000000007</v>
      </c>
      <c r="E27" s="214">
        <v>492.33</v>
      </c>
      <c r="F27" s="214">
        <v>3225.96</v>
      </c>
      <c r="G27" s="214">
        <v>1106.95</v>
      </c>
      <c r="H27" s="214">
        <v>2946.42</v>
      </c>
      <c r="I27" s="214">
        <v>10384.23</v>
      </c>
      <c r="J27" s="214">
        <v>13334.83</v>
      </c>
      <c r="K27" s="214">
        <v>4315.05</v>
      </c>
      <c r="L27" s="214">
        <v>6639.61</v>
      </c>
      <c r="M27" s="214">
        <v>2911</v>
      </c>
      <c r="N27" s="214">
        <v>1587.29</v>
      </c>
      <c r="O27" s="214">
        <v>1860.76</v>
      </c>
      <c r="P27" s="17"/>
      <c r="Q27" s="243">
        <f>SUM(D27:O27)</f>
        <v>48881.360000000008</v>
      </c>
      <c r="R27" s="71" t="s">
        <v>3</v>
      </c>
    </row>
    <row r="28" spans="1:18" s="33" customFormat="1" ht="27" customHeight="1" x14ac:dyDescent="0.4">
      <c r="A28" s="32"/>
      <c r="B28" s="32"/>
      <c r="C28" s="32"/>
      <c r="D28" s="292" t="str">
        <f t="shared" ref="D28" si="12">IF((+D$7+D$8)=0," ",D29/(+D$7+D$8))</f>
        <v xml:space="preserve"> </v>
      </c>
      <c r="E28" s="237">
        <f t="shared" ref="D28:O28" si="13">IF((+E$7+E$8)=0," ",E29/(+E$7+E$8))</f>
        <v>0</v>
      </c>
      <c r="F28" s="237">
        <f t="shared" si="13"/>
        <v>3.2419517470152412E-3</v>
      </c>
      <c r="G28" s="237">
        <f t="shared" si="13"/>
        <v>0</v>
      </c>
      <c r="H28" s="237">
        <f t="shared" si="13"/>
        <v>1.1983286924164562E-4</v>
      </c>
      <c r="I28" s="237">
        <f t="shared" si="13"/>
        <v>5.283795214405528E-3</v>
      </c>
      <c r="J28" s="237">
        <f t="shared" si="13"/>
        <v>6.4783551849282033E-4</v>
      </c>
      <c r="K28" s="237">
        <f t="shared" si="13"/>
        <v>0</v>
      </c>
      <c r="L28" s="292">
        <f t="shared" si="13"/>
        <v>1.2852536649461189E-3</v>
      </c>
      <c r="M28" s="292">
        <f t="shared" si="13"/>
        <v>0</v>
      </c>
      <c r="N28" s="292">
        <f t="shared" si="13"/>
        <v>4.9091801669121256E-4</v>
      </c>
      <c r="O28" s="292">
        <f t="shared" si="13"/>
        <v>1.6383539341487973E-3</v>
      </c>
      <c r="P28" s="32"/>
      <c r="Q28" s="242">
        <f>IF(+Q$21=0," ",Q29/+Q$21)</f>
        <v>4.6406381962666348E-3</v>
      </c>
      <c r="R28" s="71" t="s">
        <v>3</v>
      </c>
    </row>
    <row r="29" spans="1:18" s="15" customFormat="1" ht="35.1" customHeight="1" x14ac:dyDescent="0.45">
      <c r="A29" s="16" t="s">
        <v>38</v>
      </c>
      <c r="B29" s="16"/>
      <c r="C29" s="16"/>
      <c r="D29" s="214"/>
      <c r="E29" s="214">
        <v>0</v>
      </c>
      <c r="F29" s="214">
        <v>44.37</v>
      </c>
      <c r="G29" s="214">
        <v>0</v>
      </c>
      <c r="H29" s="214">
        <v>2.4900000000000002</v>
      </c>
      <c r="I29" s="214">
        <v>368.55</v>
      </c>
      <c r="J29" s="214">
        <v>62.79</v>
      </c>
      <c r="K29" s="214">
        <v>0</v>
      </c>
      <c r="L29" s="214">
        <v>42.99</v>
      </c>
      <c r="M29" s="214">
        <v>0</v>
      </c>
      <c r="N29" s="214">
        <v>4</v>
      </c>
      <c r="O29" s="214">
        <v>38.24</v>
      </c>
      <c r="P29" s="17"/>
      <c r="Q29" s="243">
        <f>SUM(D29:O29)</f>
        <v>563.43000000000006</v>
      </c>
      <c r="R29" s="71" t="s">
        <v>3</v>
      </c>
    </row>
    <row r="30" spans="1:18" s="33" customFormat="1" ht="27" customHeight="1" x14ac:dyDescent="0.4">
      <c r="A30" s="32"/>
      <c r="D30" s="292" t="str">
        <f>IF((+D$7+D$8)=0," ",D31/(+D$7+D$8))</f>
        <v xml:space="preserve"> </v>
      </c>
      <c r="E30" s="237">
        <f>IF((+E$7+E$8)=0," ",E31/(+E$7+E$8))</f>
        <v>2.9305327644677828</v>
      </c>
      <c r="F30" s="237">
        <f>IF((+F$7+F$8)=0," ",F31/(+F$7+F$8))</f>
        <v>0.42701334190644585</v>
      </c>
      <c r="G30" s="237">
        <f>IF((+G$7+G$8)=0," ",G31/(+G$7+G$8))</f>
        <v>0.20340956111555544</v>
      </c>
      <c r="H30" s="237">
        <f>IF((+H$7+H$8)=0," ",H31/(+H$7+H$8))</f>
        <v>0.21104060168613026</v>
      </c>
      <c r="I30" s="237">
        <f>IF((O33+I$7+I$8)=0," ",I31/(+I$7+I$8))</f>
        <v>9.1898467405485226E-2</v>
      </c>
      <c r="J30" s="237">
        <f>IF((P33+J$7+J$8)=0," ",J31/(+J$7+J$8))</f>
        <v>0.1168361401219012</v>
      </c>
      <c r="K30" s="237">
        <f>IF((+K$7+K$8)=0," ",K31/(+K$7+K$8))</f>
        <v>0.1225703220175646</v>
      </c>
      <c r="L30" s="292">
        <f t="shared" ref="L30" si="14">IF((+L$7+L$8)=0," ",L31/(+L$7+L$8))</f>
        <v>0.21895472612497066</v>
      </c>
      <c r="M30" s="292">
        <f t="shared" ref="M30:O30" si="15">IF((+M$7+M$8)=0," ",M31/(+M$7+M$8))</f>
        <v>0.15017323371319105</v>
      </c>
      <c r="N30" s="292">
        <f t="shared" si="15"/>
        <v>0.60665193912616588</v>
      </c>
      <c r="O30" s="292">
        <f t="shared" si="15"/>
        <v>0.22541119513292346</v>
      </c>
      <c r="P30" s="32"/>
      <c r="Q30" s="242">
        <f>IF((+Q$7+Q$8)=0," ",(+Q31+Q32)/(+Q$7+Q$8))</f>
        <v>0.19040005809183894</v>
      </c>
      <c r="R30" s="71" t="s">
        <v>3</v>
      </c>
    </row>
    <row r="31" spans="1:18" s="15" customFormat="1" ht="35.1" customHeight="1" x14ac:dyDescent="0.45">
      <c r="A31" s="16" t="s">
        <v>39</v>
      </c>
      <c r="B31" s="45"/>
      <c r="C31" s="45"/>
      <c r="D31" s="214">
        <v>5212.58</v>
      </c>
      <c r="E31" s="214">
        <v>5357.6</v>
      </c>
      <c r="F31" s="214">
        <v>5844.19</v>
      </c>
      <c r="G31" s="214">
        <v>3686.9</v>
      </c>
      <c r="H31" s="214">
        <v>4385.2</v>
      </c>
      <c r="I31" s="214">
        <v>6410.01</v>
      </c>
      <c r="J31" s="214">
        <v>11324.08</v>
      </c>
      <c r="K31" s="214">
        <v>6741</v>
      </c>
      <c r="L31" s="214">
        <v>7323.74</v>
      </c>
      <c r="M31" s="214">
        <v>5816.78</v>
      </c>
      <c r="N31" s="214">
        <v>4943</v>
      </c>
      <c r="O31" s="214">
        <v>5261.21</v>
      </c>
      <c r="P31" s="17"/>
      <c r="Q31" s="243">
        <f>SUM(D31:O31)</f>
        <v>72306.290000000008</v>
      </c>
      <c r="R31" s="71" t="s">
        <v>3</v>
      </c>
    </row>
    <row r="32" spans="1:18" s="33" customFormat="1" ht="27" customHeight="1" x14ac:dyDescent="0.4">
      <c r="A32" s="32"/>
      <c r="B32" s="32"/>
      <c r="C32" s="32"/>
      <c r="D32" s="290" t="str">
        <f t="shared" ref="D32" si="16">IF((+D$7+D$8)=0," ",D33/(+D$7+D$8))</f>
        <v xml:space="preserve"> </v>
      </c>
      <c r="E32" s="236">
        <f t="shared" ref="D32:O32" si="17">IF((+E$7+E$8)=0," ",E33/(+E$7+E$8))</f>
        <v>2.4040039382999669</v>
      </c>
      <c r="F32" s="236">
        <f t="shared" si="17"/>
        <v>0.32112639008636434</v>
      </c>
      <c r="G32" s="236">
        <f t="shared" si="17"/>
        <v>0.24247606962566551</v>
      </c>
      <c r="H32" s="236">
        <f t="shared" si="17"/>
        <v>0.21151223305904918</v>
      </c>
      <c r="I32" s="237">
        <f t="shared" si="17"/>
        <v>6.3009849321156691E-2</v>
      </c>
      <c r="J32" s="236">
        <f t="shared" si="17"/>
        <v>4.5345391045961858E-2</v>
      </c>
      <c r="K32" s="236">
        <f t="shared" si="17"/>
        <v>7.9913449824535882E-2</v>
      </c>
      <c r="L32" s="290">
        <f t="shared" si="17"/>
        <v>0.13139543748402402</v>
      </c>
      <c r="M32" s="290">
        <f t="shared" si="17"/>
        <v>0.11346679127790198</v>
      </c>
      <c r="N32" s="290">
        <f t="shared" si="17"/>
        <v>0.53939617083946978</v>
      </c>
      <c r="O32" s="290">
        <f t="shared" si="17"/>
        <v>0.18829930806966433</v>
      </c>
      <c r="P32" s="32"/>
      <c r="Q32" s="242">
        <f>IF((+Q$7+Q$8)=0," ",Q33/(+Q$7+Q$8))</f>
        <v>0.13887698811466825</v>
      </c>
      <c r="R32" s="71" t="s">
        <v>3</v>
      </c>
    </row>
    <row r="33" spans="1:18" s="15" customFormat="1" ht="35.1" customHeight="1" x14ac:dyDescent="0.45">
      <c r="A33" s="16" t="s">
        <v>40</v>
      </c>
      <c r="B33" s="82"/>
      <c r="C33" s="82"/>
      <c r="D33" s="106">
        <v>4395</v>
      </c>
      <c r="E33" s="106">
        <v>4395</v>
      </c>
      <c r="F33" s="106">
        <f t="shared" ref="F33:O33" si="18">E33</f>
        <v>4395</v>
      </c>
      <c r="G33" s="106">
        <f t="shared" si="18"/>
        <v>4395</v>
      </c>
      <c r="H33" s="106">
        <f t="shared" si="18"/>
        <v>4395</v>
      </c>
      <c r="I33" s="241">
        <f t="shared" si="18"/>
        <v>4395</v>
      </c>
      <c r="J33" s="106">
        <f t="shared" si="18"/>
        <v>4395</v>
      </c>
      <c r="K33" s="106">
        <f t="shared" si="18"/>
        <v>4395</v>
      </c>
      <c r="L33" s="106">
        <f t="shared" si="18"/>
        <v>4395</v>
      </c>
      <c r="M33" s="106">
        <f t="shared" si="18"/>
        <v>4395</v>
      </c>
      <c r="N33" s="106">
        <f>M33</f>
        <v>4395</v>
      </c>
      <c r="O33" s="106">
        <f t="shared" si="18"/>
        <v>4395</v>
      </c>
      <c r="P33" s="5"/>
      <c r="Q33" s="83">
        <f>SUM(D33:O33)</f>
        <v>52740</v>
      </c>
      <c r="R33" s="71" t="s">
        <v>3</v>
      </c>
    </row>
    <row r="34" spans="1:18" s="33" customFormat="1" ht="27" customHeight="1" x14ac:dyDescent="0.4">
      <c r="A34" s="32"/>
      <c r="B34" s="32"/>
      <c r="C34" s="32"/>
      <c r="D34" s="292" t="str">
        <f t="shared" ref="D34" si="19">IF((+D$7+D$8)=0," ",D35/(+D$7+D$8))</f>
        <v xml:space="preserve"> </v>
      </c>
      <c r="E34" s="237">
        <f t="shared" ref="D34:O34" si="20">IF((+E$7+E$8)=0," ",E35/(+E$7+E$8))</f>
        <v>0.35154250082047916</v>
      </c>
      <c r="F34" s="237">
        <f t="shared" si="20"/>
        <v>3.1753152810860573E-2</v>
      </c>
      <c r="G34" s="237">
        <f t="shared" si="20"/>
        <v>0.10448704863314116</v>
      </c>
      <c r="H34" s="236">
        <f t="shared" si="20"/>
        <v>1.5964240716802684E-2</v>
      </c>
      <c r="I34" s="237">
        <f t="shared" si="20"/>
        <v>1.0967584694126249E-2</v>
      </c>
      <c r="J34" s="236">
        <f t="shared" si="20"/>
        <v>7.6291685904496115E-3</v>
      </c>
      <c r="K34" s="236">
        <f t="shared" si="20"/>
        <v>2.5328654290234013E-2</v>
      </c>
      <c r="L34" s="290">
        <f t="shared" si="20"/>
        <v>3.5704580005471068E-2</v>
      </c>
      <c r="M34" s="290">
        <f t="shared" si="20"/>
        <v>4.039237048779102E-2</v>
      </c>
      <c r="N34" s="290">
        <f t="shared" si="20"/>
        <v>7.2655866470299466E-2</v>
      </c>
      <c r="O34" s="290">
        <f t="shared" si="20"/>
        <v>2.5051734110237572E-2</v>
      </c>
      <c r="P34" s="32"/>
      <c r="Q34" s="235">
        <f>IF((+Q$7+Q$8)=0," ",Q35/(+Q$7+Q$8))</f>
        <v>2.7266787644656284E-2</v>
      </c>
      <c r="R34" s="71" t="s">
        <v>3</v>
      </c>
    </row>
    <row r="35" spans="1:18" s="15" customFormat="1" ht="35.1" customHeight="1" x14ac:dyDescent="0.45">
      <c r="A35" s="16" t="s">
        <v>41</v>
      </c>
      <c r="B35" s="16"/>
      <c r="C35" s="16"/>
      <c r="D35" s="214">
        <v>219</v>
      </c>
      <c r="E35" s="214">
        <v>642.69000000000005</v>
      </c>
      <c r="F35" s="214">
        <v>434.58</v>
      </c>
      <c r="G35" s="214">
        <v>1893.88</v>
      </c>
      <c r="H35" s="214">
        <v>331.72</v>
      </c>
      <c r="I35" s="214">
        <v>765</v>
      </c>
      <c r="J35" s="214">
        <v>739.44</v>
      </c>
      <c r="K35" s="214">
        <v>1393</v>
      </c>
      <c r="L35" s="214">
        <v>1194.27</v>
      </c>
      <c r="M35" s="214">
        <v>1564.55</v>
      </c>
      <c r="N35" s="214">
        <v>592</v>
      </c>
      <c r="O35" s="214">
        <v>584.72</v>
      </c>
      <c r="P35" s="17"/>
      <c r="Q35" s="39">
        <f>SUM(D35:O35)</f>
        <v>10354.849999999999</v>
      </c>
      <c r="R35" s="71" t="s">
        <v>3</v>
      </c>
    </row>
    <row r="36" spans="1:18" s="33" customFormat="1" ht="27" customHeight="1" x14ac:dyDescent="0.4">
      <c r="A36" s="32"/>
      <c r="B36" s="32"/>
      <c r="C36" s="32"/>
      <c r="D36" s="292" t="str">
        <f t="shared" ref="D36" si="21">IF((+D$7+D$8)=0," ",D37/(+D$7+D$8))</f>
        <v xml:space="preserve"> </v>
      </c>
      <c r="E36" s="237">
        <f t="shared" ref="D36:O36" si="22">IF((+E$7+E$8)=0," ",E37/(+E$7+E$8))</f>
        <v>4.7647959741822558E-2</v>
      </c>
      <c r="F36" s="237">
        <f t="shared" si="22"/>
        <v>1.0419254431471115E-2</v>
      </c>
      <c r="G36" s="237">
        <f t="shared" si="22"/>
        <v>5.8541833328735755E-2</v>
      </c>
      <c r="H36" s="237">
        <f t="shared" si="22"/>
        <v>7.4483587709478924E-2</v>
      </c>
      <c r="I36" s="237">
        <f t="shared" si="22"/>
        <v>4.786655388453212E-2</v>
      </c>
      <c r="J36" s="236">
        <f t="shared" si="22"/>
        <v>3.5086602474651202E-2</v>
      </c>
      <c r="K36" s="236">
        <f t="shared" si="22"/>
        <v>1.3982580868047347E-2</v>
      </c>
      <c r="L36" s="292">
        <f>IF((+L$7+L$8)=0," ",L37/(+L$7+L$8))</f>
        <v>1.603412992751576E-2</v>
      </c>
      <c r="M36" s="292">
        <f>IF((+M$7+M$8)=0," ",M37/(+M$7+M$8))</f>
        <v>1.4560926116208581E-2</v>
      </c>
      <c r="N36" s="292">
        <f>IF((+N$7+N$8)=0," ",N37/(+N$7+N$8))</f>
        <v>1.7059401080019635E-2</v>
      </c>
      <c r="O36" s="292">
        <f>IF((+O$7+O$8)=0," ",O37/(+O$7+O$8))</f>
        <v>2.7224780960133674E-2</v>
      </c>
      <c r="P36" s="240"/>
      <c r="Q36" s="235">
        <f>IF((+Q$7+Q$8)=0," ",Q37/(+Q$7+Q$8))</f>
        <v>3.334180007222446E-2</v>
      </c>
      <c r="R36" s="71" t="s">
        <v>3</v>
      </c>
    </row>
    <row r="37" spans="1:18" s="15" customFormat="1" ht="34.5" customHeight="1" x14ac:dyDescent="0.45">
      <c r="A37" s="16" t="s">
        <v>42</v>
      </c>
      <c r="B37" s="16"/>
      <c r="C37" s="16"/>
      <c r="D37" s="214">
        <v>440.21</v>
      </c>
      <c r="E37" s="214">
        <v>87.11</v>
      </c>
      <c r="F37" s="214">
        <v>142.6</v>
      </c>
      <c r="G37" s="214">
        <v>1061.0999999999999</v>
      </c>
      <c r="H37" s="214">
        <v>1547.69</v>
      </c>
      <c r="I37" s="214">
        <v>3338.74</v>
      </c>
      <c r="J37" s="214">
        <v>3400.69</v>
      </c>
      <c r="K37" s="214">
        <v>769</v>
      </c>
      <c r="L37" s="214">
        <v>536.32000000000005</v>
      </c>
      <c r="M37" s="214">
        <v>564</v>
      </c>
      <c r="N37" s="214">
        <v>139</v>
      </c>
      <c r="O37" s="214">
        <v>635.44000000000005</v>
      </c>
      <c r="P37" s="38"/>
      <c r="Q37" s="39">
        <f>SUM(D37:O37)</f>
        <v>12661.9</v>
      </c>
      <c r="R37" s="71" t="s">
        <v>3</v>
      </c>
    </row>
    <row r="38" spans="1:18" s="33" customFormat="1" ht="27" customHeight="1" x14ac:dyDescent="0.4">
      <c r="A38" s="32"/>
      <c r="B38" s="32"/>
      <c r="C38" s="32"/>
      <c r="D38" s="292" t="str">
        <f t="shared" ref="D38" si="23">IF((+D$7+D$8)=0," ",D39/(+D$7+D$8))</f>
        <v xml:space="preserve"> </v>
      </c>
      <c r="E38" s="237">
        <f t="shared" ref="D38:O38" si="24">IF((+E$7+E$8)=0," ",E39/(+E$7+E$8))</f>
        <v>3.386390985668964E-2</v>
      </c>
      <c r="F38" s="237">
        <f t="shared" si="24"/>
        <v>0</v>
      </c>
      <c r="G38" s="237">
        <f t="shared" si="24"/>
        <v>0</v>
      </c>
      <c r="H38" s="236">
        <f t="shared" si="24"/>
        <v>0</v>
      </c>
      <c r="I38" s="237">
        <f t="shared" si="24"/>
        <v>1.3261458617080759E-4</v>
      </c>
      <c r="J38" s="236">
        <f t="shared" si="24"/>
        <v>9.3105075949660937E-4</v>
      </c>
      <c r="K38" s="236">
        <f t="shared" si="24"/>
        <v>0</v>
      </c>
      <c r="L38" s="292">
        <f t="shared" si="24"/>
        <v>1.6652391053151622E-4</v>
      </c>
      <c r="M38" s="292">
        <f t="shared" si="24"/>
        <v>1.5490346932136789E-4</v>
      </c>
      <c r="N38" s="292">
        <f t="shared" si="24"/>
        <v>0</v>
      </c>
      <c r="O38" s="292">
        <f t="shared" si="24"/>
        <v>0</v>
      </c>
      <c r="P38" s="32"/>
      <c r="Q38" s="235">
        <f>IF((+Q$7+Q$8)=0," ",Q39/(+Q$7+Q$8))</f>
        <v>4.895979977277261E-4</v>
      </c>
      <c r="R38" s="71" t="s">
        <v>3</v>
      </c>
    </row>
    <row r="39" spans="1:18" s="15" customFormat="1" ht="35.1" customHeight="1" x14ac:dyDescent="0.45">
      <c r="A39" s="16" t="s">
        <v>44</v>
      </c>
      <c r="B39" s="16"/>
      <c r="C39" s="16"/>
      <c r="D39" s="214">
        <v>12.96</v>
      </c>
      <c r="E39" s="214">
        <v>61.91</v>
      </c>
      <c r="F39" s="214">
        <v>0</v>
      </c>
      <c r="G39" s="214">
        <v>0</v>
      </c>
      <c r="H39" s="214">
        <v>0</v>
      </c>
      <c r="I39" s="214">
        <v>9.25</v>
      </c>
      <c r="J39" s="214">
        <v>90.24</v>
      </c>
      <c r="K39" s="214">
        <v>0</v>
      </c>
      <c r="L39" s="214">
        <v>5.57</v>
      </c>
      <c r="M39" s="214">
        <v>6</v>
      </c>
      <c r="N39" s="214">
        <v>0</v>
      </c>
      <c r="O39" s="214">
        <v>0</v>
      </c>
      <c r="P39" s="17"/>
      <c r="Q39" s="39">
        <f>SUM(D39:O39)</f>
        <v>185.93</v>
      </c>
      <c r="R39" s="71" t="s">
        <v>3</v>
      </c>
    </row>
    <row r="40" spans="1:18" s="33" customFormat="1" ht="27" customHeight="1" x14ac:dyDescent="0.4">
      <c r="B40" s="32"/>
      <c r="C40" s="32"/>
      <c r="D40" s="292" t="str">
        <f t="shared" ref="D40" si="25">IF((+D$7+D$8)=0," ",D41/(+D$7+D$8))</f>
        <v xml:space="preserve"> </v>
      </c>
      <c r="E40" s="237">
        <f t="shared" ref="D40:O40" si="26">IF((+E$7+E$8)=0," ",E41/(+E$7+E$8))</f>
        <v>4.9775735696313314E-4</v>
      </c>
      <c r="F40" s="237">
        <f t="shared" si="26"/>
        <v>5.8030717072671739E-2</v>
      </c>
      <c r="G40" s="237">
        <f t="shared" si="26"/>
        <v>6.3810653499213809E-3</v>
      </c>
      <c r="H40" s="236">
        <f t="shared" si="26"/>
        <v>6.0224438782729046E-3</v>
      </c>
      <c r="I40" s="237">
        <f t="shared" si="26"/>
        <v>1.4863156083783746E-2</v>
      </c>
      <c r="J40" s="236">
        <f t="shared" si="26"/>
        <v>4.9620961023082817E-3</v>
      </c>
      <c r="K40" s="236">
        <f t="shared" si="26"/>
        <v>6.4458061348800846E-3</v>
      </c>
      <c r="L40" s="292">
        <f t="shared" si="26"/>
        <v>7.6693678220197212E-3</v>
      </c>
      <c r="M40" s="292">
        <f t="shared" si="26"/>
        <v>3.4853280597307774E-3</v>
      </c>
      <c r="N40" s="292">
        <f t="shared" si="26"/>
        <v>7.9774177712322036E-3</v>
      </c>
      <c r="O40" s="292">
        <f t="shared" si="26"/>
        <v>3.0517769542212038E-3</v>
      </c>
      <c r="P40" s="32"/>
      <c r="Q40" s="235">
        <f>IF((+Q$7+Q$8)=0," ",Q41/(+Q$7+Q$8))</f>
        <v>9.3662706504472528E-3</v>
      </c>
      <c r="R40" s="71" t="s">
        <v>3</v>
      </c>
    </row>
    <row r="41" spans="1:18" s="15" customFormat="1" ht="35.1" customHeight="1" x14ac:dyDescent="0.45">
      <c r="A41" s="126" t="s">
        <v>43</v>
      </c>
      <c r="B41" s="16"/>
      <c r="C41" s="16"/>
      <c r="D41" s="214">
        <v>121.09</v>
      </c>
      <c r="E41" s="214">
        <v>0.91</v>
      </c>
      <c r="F41" s="214">
        <v>794.22</v>
      </c>
      <c r="G41" s="214">
        <v>115.66</v>
      </c>
      <c r="H41" s="214">
        <v>125.14</v>
      </c>
      <c r="I41" s="214">
        <v>1036.72</v>
      </c>
      <c r="J41" s="214">
        <v>480.94</v>
      </c>
      <c r="K41" s="214">
        <f>353+1.5</f>
        <v>354.5</v>
      </c>
      <c r="L41" s="214">
        <v>256.52999999999997</v>
      </c>
      <c r="M41" s="214">
        <v>135</v>
      </c>
      <c r="N41" s="214">
        <v>65</v>
      </c>
      <c r="O41" s="214">
        <v>71.23</v>
      </c>
      <c r="P41" s="17"/>
      <c r="Q41" s="39">
        <f>SUM(D41:O41)</f>
        <v>3556.94</v>
      </c>
      <c r="R41" s="71" t="s">
        <v>3</v>
      </c>
    </row>
    <row r="42" spans="1:18" s="33" customFormat="1" ht="27" customHeight="1" x14ac:dyDescent="0.4">
      <c r="A42" s="32"/>
      <c r="B42" s="32"/>
      <c r="C42" s="32"/>
      <c r="D42" s="292" t="str">
        <f t="shared" ref="D42:D46" si="27">IF((+D$7+D$8)=0," ",D43/(+D$7+D$8))</f>
        <v xml:space="preserve"> </v>
      </c>
      <c r="E42" s="237">
        <f t="shared" ref="D42:O46" si="28">IF((+E$7+E$8)=0," ",E43/(+E$7+E$8))</f>
        <v>6.5638332786347228E-3</v>
      </c>
      <c r="F42" s="237">
        <f t="shared" si="28"/>
        <v>4.0540836755271731E-2</v>
      </c>
      <c r="G42" s="237">
        <f t="shared" si="28"/>
        <v>1.5999558632865299E-2</v>
      </c>
      <c r="H42" s="236">
        <f t="shared" si="28"/>
        <v>0</v>
      </c>
      <c r="I42" s="237">
        <f t="shared" si="28"/>
        <v>0</v>
      </c>
      <c r="J42" s="236">
        <f t="shared" si="28"/>
        <v>0</v>
      </c>
      <c r="K42" s="236">
        <f t="shared" si="28"/>
        <v>0</v>
      </c>
      <c r="L42" s="292">
        <f t="shared" si="28"/>
        <v>2.560043529410006E-3</v>
      </c>
      <c r="M42" s="292">
        <f t="shared" si="28"/>
        <v>2.6591762233501488E-3</v>
      </c>
      <c r="N42" s="292">
        <f t="shared" si="28"/>
        <v>0</v>
      </c>
      <c r="O42" s="292">
        <f t="shared" si="28"/>
        <v>7.2834772177117021E-5</v>
      </c>
      <c r="P42" s="32"/>
      <c r="Q42" s="235">
        <f>IF((+Q$7+Q$8)=0," ",Q43/(+Q$7+Q$8))</f>
        <v>2.7641892440957664E-3</v>
      </c>
      <c r="R42" s="71" t="s">
        <v>3</v>
      </c>
    </row>
    <row r="43" spans="1:18" s="15" customFormat="1" ht="35.1" customHeight="1" x14ac:dyDescent="0.45">
      <c r="A43" s="16" t="s">
        <v>45</v>
      </c>
      <c r="B43" s="16"/>
      <c r="C43" s="16"/>
      <c r="D43" s="214">
        <v>2.5499999999999998</v>
      </c>
      <c r="E43" s="214">
        <v>12</v>
      </c>
      <c r="F43" s="214">
        <v>554.85</v>
      </c>
      <c r="G43" s="214">
        <v>290</v>
      </c>
      <c r="H43" s="215">
        <f>'[1]Input Wrksht '!J23+'[1]Input Wrksht '!J29+'[1]Input Wrksht '!J19</f>
        <v>0</v>
      </c>
      <c r="I43" s="215">
        <v>0</v>
      </c>
      <c r="J43" s="215">
        <f>'[1]Input Wrksht '!L23+'[1]Input Wrksht '!L29+'[1]Input Wrksht '!L19</f>
        <v>0</v>
      </c>
      <c r="K43" s="215">
        <v>0</v>
      </c>
      <c r="L43" s="214">
        <v>85.63</v>
      </c>
      <c r="M43" s="214">
        <v>103</v>
      </c>
      <c r="N43" s="214">
        <v>0</v>
      </c>
      <c r="O43" s="214">
        <v>1.7</v>
      </c>
      <c r="P43" s="17"/>
      <c r="Q43" s="39">
        <f>SUM(D43:O43)</f>
        <v>1049.73</v>
      </c>
      <c r="R43" s="71" t="s">
        <v>3</v>
      </c>
    </row>
    <row r="44" spans="1:18" s="33" customFormat="1" ht="27" customHeight="1" x14ac:dyDescent="0.4">
      <c r="A44" s="32"/>
      <c r="B44" s="32"/>
      <c r="C44" s="32"/>
      <c r="D44" s="292" t="str">
        <f t="shared" si="27"/>
        <v xml:space="preserve"> </v>
      </c>
      <c r="E44" s="237">
        <f t="shared" ref="D44:O44" si="29">IF((+E$7+E$8)=0," ",E45/(+E$7+E$8))</f>
        <v>9.8457499179520833E-2</v>
      </c>
      <c r="F44" s="237">
        <f t="shared" si="29"/>
        <v>1.3151934064970554E-2</v>
      </c>
      <c r="G44" s="237">
        <f t="shared" si="29"/>
        <v>9.9307605307439803E-3</v>
      </c>
      <c r="H44" s="236">
        <f t="shared" si="29"/>
        <v>8.6626170536129362E-3</v>
      </c>
      <c r="I44" s="237">
        <f t="shared" si="29"/>
        <v>2.5806081633238235E-3</v>
      </c>
      <c r="J44" s="236">
        <f t="shared" si="29"/>
        <v>1.8571491213363221E-3</v>
      </c>
      <c r="K44" s="236">
        <f t="shared" si="29"/>
        <v>3.2729057948615377E-3</v>
      </c>
      <c r="L44" s="292">
        <f t="shared" si="28"/>
        <v>5.3813831051477412E-3</v>
      </c>
      <c r="M44" s="292">
        <f t="shared" si="28"/>
        <v>4.6471040796410368E-3</v>
      </c>
      <c r="N44" s="292">
        <f t="shared" si="28"/>
        <v>2.2091310751104567E-2</v>
      </c>
      <c r="O44" s="292">
        <f t="shared" si="28"/>
        <v>7.7119170540476852E-3</v>
      </c>
      <c r="P44" s="32"/>
      <c r="Q44" s="235">
        <f>IF((+Q$7+Q$8)=0," ",Q45/(+Q$7+Q$8))</f>
        <v>5.6877947350717382E-3</v>
      </c>
      <c r="R44" s="71" t="s">
        <v>3</v>
      </c>
    </row>
    <row r="45" spans="1:18" s="33" customFormat="1" ht="27" customHeight="1" x14ac:dyDescent="0.4">
      <c r="A45" s="16" t="s">
        <v>46</v>
      </c>
      <c r="B45" s="32"/>
      <c r="C45" s="32"/>
      <c r="D45" s="214">
        <v>180</v>
      </c>
      <c r="E45" s="214">
        <f t="shared" ref="E45:O45" si="30">D45</f>
        <v>180</v>
      </c>
      <c r="F45" s="214">
        <f t="shared" si="30"/>
        <v>180</v>
      </c>
      <c r="G45" s="214">
        <f t="shared" si="30"/>
        <v>180</v>
      </c>
      <c r="H45" s="214">
        <f t="shared" si="30"/>
        <v>180</v>
      </c>
      <c r="I45" s="214">
        <f t="shared" si="30"/>
        <v>180</v>
      </c>
      <c r="J45" s="214">
        <f t="shared" si="30"/>
        <v>180</v>
      </c>
      <c r="K45" s="214">
        <f t="shared" si="30"/>
        <v>180</v>
      </c>
      <c r="L45" s="214">
        <f t="shared" si="30"/>
        <v>180</v>
      </c>
      <c r="M45" s="214">
        <f t="shared" si="30"/>
        <v>180</v>
      </c>
      <c r="N45" s="214">
        <f t="shared" si="30"/>
        <v>180</v>
      </c>
      <c r="O45" s="214">
        <f t="shared" si="30"/>
        <v>180</v>
      </c>
      <c r="P45" s="17"/>
      <c r="Q45" s="39">
        <f>SUM(D45:O45)</f>
        <v>2160</v>
      </c>
      <c r="R45" s="71"/>
    </row>
    <row r="46" spans="1:18" s="33" customFormat="1" ht="27" customHeight="1" x14ac:dyDescent="0.4">
      <c r="A46" s="32"/>
      <c r="B46" s="32"/>
      <c r="C46" s="32"/>
      <c r="D46" s="292" t="str">
        <f>IF((+D$7+D$8)=0," ",D47/(+D$7+D$8))</f>
        <v xml:space="preserve"> </v>
      </c>
      <c r="E46" s="239">
        <f t="shared" ref="D46:O46" si="31">IF((+E$7+E$8)=0," ",E47/(+E$7+E$8))</f>
        <v>-2.0785472049009955E-2</v>
      </c>
      <c r="F46" s="238">
        <f t="shared" si="31"/>
        <v>0</v>
      </c>
      <c r="G46" s="237">
        <f t="shared" si="31"/>
        <v>0</v>
      </c>
      <c r="H46" s="236">
        <f t="shared" si="31"/>
        <v>0</v>
      </c>
      <c r="I46" s="237">
        <f t="shared" si="31"/>
        <v>1.6200484580866224E-2</v>
      </c>
      <c r="J46" s="236">
        <f t="shared" si="31"/>
        <v>0</v>
      </c>
      <c r="K46" s="236">
        <f t="shared" si="31"/>
        <v>0</v>
      </c>
      <c r="L46" s="292">
        <f t="shared" si="28"/>
        <v>0</v>
      </c>
      <c r="M46" s="292">
        <f t="shared" si="28"/>
        <v>1.0714156628061279E-2</v>
      </c>
      <c r="N46" s="293">
        <f t="shared" si="28"/>
        <v>4.685812469317624E-3</v>
      </c>
      <c r="O46" s="293">
        <f t="shared" si="28"/>
        <v>-1.6006512285512307E-3</v>
      </c>
      <c r="P46" s="32"/>
      <c r="Q46" s="235">
        <f>IF((+Q$7+Q$8)=0," ",Q47/(+Q$7+Q$8))</f>
        <v>4.1315245654537994E-3</v>
      </c>
      <c r="R46" s="71" t="s">
        <v>3</v>
      </c>
    </row>
    <row r="47" spans="1:18" s="15" customFormat="1" ht="35.1" customHeight="1" x14ac:dyDescent="0.4">
      <c r="A47" s="16" t="s">
        <v>47</v>
      </c>
      <c r="B47" s="16"/>
      <c r="C47" s="16"/>
      <c r="D47" s="217">
        <v>61.17</v>
      </c>
      <c r="E47" s="217">
        <v>-38</v>
      </c>
      <c r="F47" s="215">
        <v>0</v>
      </c>
      <c r="G47" s="214">
        <v>0</v>
      </c>
      <c r="H47" s="214">
        <v>0</v>
      </c>
      <c r="I47" s="214">
        <v>1130</v>
      </c>
      <c r="J47" s="214">
        <v>0</v>
      </c>
      <c r="K47" s="214">
        <v>0</v>
      </c>
      <c r="L47" s="214">
        <f>H47</f>
        <v>0</v>
      </c>
      <c r="M47" s="214">
        <v>415</v>
      </c>
      <c r="N47" s="294">
        <v>38.18</v>
      </c>
      <c r="O47" s="217">
        <f>-38.18+0.82</f>
        <v>-37.36</v>
      </c>
      <c r="P47" s="17"/>
      <c r="Q47" s="39">
        <f>SUM(D47:O47)</f>
        <v>1568.9900000000002</v>
      </c>
      <c r="R47" s="71" t="s">
        <v>3</v>
      </c>
    </row>
    <row r="48" spans="1:18" s="33" customFormat="1" ht="27" customHeight="1" x14ac:dyDescent="0.4">
      <c r="A48" s="16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35"/>
      <c r="R48" s="35"/>
    </row>
    <row r="49" spans="1:24" s="15" customFormat="1" ht="35.1" customHeight="1" thickBot="1" x14ac:dyDescent="0.45">
      <c r="A49" s="2"/>
      <c r="B49" s="21" t="s">
        <v>21</v>
      </c>
      <c r="C49" s="21"/>
      <c r="D49" s="107">
        <f t="shared" ref="D49:O49" si="32">+D47+D45+D43+D41+D39+D37+D35+D33+D31+D29+D27+D25+D23+D21+D19</f>
        <v>20761.23</v>
      </c>
      <c r="E49" s="107">
        <f t="shared" si="32"/>
        <v>21398.06</v>
      </c>
      <c r="F49" s="107">
        <f t="shared" si="32"/>
        <v>29137.5</v>
      </c>
      <c r="G49" s="107">
        <f t="shared" si="32"/>
        <v>25364.510000000002</v>
      </c>
      <c r="H49" s="107">
        <f t="shared" si="32"/>
        <v>26862.809999999998</v>
      </c>
      <c r="I49" s="234">
        <f t="shared" si="32"/>
        <v>60749.01</v>
      </c>
      <c r="J49" s="107">
        <f t="shared" si="32"/>
        <v>90626.75</v>
      </c>
      <c r="K49" s="107">
        <f t="shared" si="32"/>
        <v>44701.55</v>
      </c>
      <c r="L49" s="107">
        <f t="shared" si="32"/>
        <v>37511.369999999995</v>
      </c>
      <c r="M49" s="107">
        <f t="shared" si="32"/>
        <v>31113.33</v>
      </c>
      <c r="N49" s="107">
        <f t="shared" si="32"/>
        <v>20430.47</v>
      </c>
      <c r="O49" s="107">
        <f t="shared" si="32"/>
        <v>29868.11</v>
      </c>
      <c r="P49" s="17"/>
      <c r="Q49" s="104">
        <f>ROUND((+Q47+Q45+Q43+Q41+Q39+Q37+Q35+Q33+Q31+Q29+Q27+Q25+Q23+Q21+Q19),0)</f>
        <v>438525</v>
      </c>
      <c r="R49" s="71" t="s">
        <v>3</v>
      </c>
    </row>
    <row r="50" spans="1:24" s="15" customFormat="1" ht="25.2" thickTop="1" x14ac:dyDescent="0.4">
      <c r="A50" s="20"/>
      <c r="B50" s="20"/>
      <c r="C50" s="20"/>
      <c r="D50" s="20"/>
      <c r="E50" s="20"/>
      <c r="F50" s="20"/>
      <c r="G50" s="20"/>
      <c r="H50" s="20"/>
      <c r="J50"/>
      <c r="K50"/>
      <c r="L50"/>
      <c r="M50"/>
      <c r="N50"/>
      <c r="O50"/>
      <c r="P50" s="17"/>
      <c r="Q50" s="20"/>
      <c r="R50" s="71" t="s">
        <v>3</v>
      </c>
    </row>
    <row r="51" spans="1:24" s="2" customFormat="1" ht="50.1" customHeight="1" thickBot="1" x14ac:dyDescent="0.45">
      <c r="A51" s="84"/>
      <c r="B51" s="85" t="s">
        <v>22</v>
      </c>
      <c r="C51" s="86"/>
      <c r="D51" s="108">
        <f t="shared" ref="D51:O51" si="33">+D13-D49</f>
        <v>-20761.23</v>
      </c>
      <c r="E51" s="108">
        <f t="shared" si="33"/>
        <v>-19661.27</v>
      </c>
      <c r="F51" s="109">
        <f t="shared" si="33"/>
        <v>-15843.859999999999</v>
      </c>
      <c r="G51" s="109">
        <f t="shared" si="33"/>
        <v>-7239.010000000002</v>
      </c>
      <c r="H51" s="109">
        <f t="shared" si="33"/>
        <v>-5464.3899999999958</v>
      </c>
      <c r="I51" s="233">
        <f t="shared" si="33"/>
        <v>26706.04</v>
      </c>
      <c r="J51" s="109">
        <f t="shared" si="33"/>
        <v>10245.009999999995</v>
      </c>
      <c r="K51" s="109">
        <f t="shared" si="33"/>
        <v>7747.9499999999971</v>
      </c>
      <c r="L51" s="109">
        <f t="shared" si="33"/>
        <v>-2817.2699999999968</v>
      </c>
      <c r="M51" s="109">
        <f t="shared" si="33"/>
        <v>8277.760000000002</v>
      </c>
      <c r="N51" s="109">
        <f t="shared" si="33"/>
        <v>-12346.470000000001</v>
      </c>
      <c r="O51" s="109">
        <f t="shared" si="33"/>
        <v>-9626.7200000000012</v>
      </c>
      <c r="P51" s="17"/>
      <c r="Q51" s="65">
        <f>ROUND((+Q13-Q49),0)+1</f>
        <v>-40784</v>
      </c>
      <c r="R51" s="71" t="s">
        <v>3</v>
      </c>
    </row>
    <row r="52" spans="1:24" s="2" customFormat="1" ht="26.4" customHeight="1" thickTop="1" x14ac:dyDescent="0.4">
      <c r="G52"/>
      <c r="H52"/>
      <c r="I52"/>
      <c r="J52"/>
      <c r="K52"/>
      <c r="L52"/>
      <c r="M52"/>
      <c r="N52"/>
      <c r="O52"/>
      <c r="P52" s="17"/>
    </row>
    <row r="53" spans="1:24" x14ac:dyDescent="0.4">
      <c r="P53" s="17"/>
      <c r="S53"/>
      <c r="T53"/>
      <c r="U53"/>
      <c r="V53"/>
      <c r="W53"/>
      <c r="X53"/>
    </row>
    <row r="54" spans="1:24" ht="27" customHeight="1" x14ac:dyDescent="0.4">
      <c r="A54" s="221"/>
      <c r="B54" s="222"/>
      <c r="C54" s="223" t="s">
        <v>199</v>
      </c>
      <c r="D54" s="216">
        <v>20000</v>
      </c>
      <c r="E54" s="216">
        <v>20000</v>
      </c>
      <c r="F54" s="216">
        <v>20000</v>
      </c>
      <c r="G54" s="218">
        <v>0</v>
      </c>
      <c r="H54" s="218">
        <v>0</v>
      </c>
      <c r="I54" s="218">
        <v>0</v>
      </c>
      <c r="J54" s="218">
        <v>0</v>
      </c>
      <c r="K54" s="218">
        <v>0</v>
      </c>
      <c r="L54" s="218">
        <v>0</v>
      </c>
      <c r="M54" s="218">
        <v>0</v>
      </c>
      <c r="N54" s="218">
        <v>0</v>
      </c>
      <c r="O54" s="218">
        <v>0</v>
      </c>
      <c r="P54" s="17"/>
      <c r="Q54" s="224">
        <f>SUM(D54:O54)</f>
        <v>60000</v>
      </c>
      <c r="R54" s="35"/>
      <c r="S54"/>
      <c r="T54"/>
      <c r="U54"/>
      <c r="V54"/>
      <c r="W54"/>
      <c r="X54"/>
    </row>
    <row r="55" spans="1:24" ht="27" customHeight="1" x14ac:dyDescent="0.4">
      <c r="A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17"/>
      <c r="Q55" s="53"/>
      <c r="R55" s="35"/>
      <c r="S55" s="15"/>
      <c r="T55"/>
      <c r="U55"/>
      <c r="V55"/>
      <c r="W55"/>
      <c r="X55"/>
    </row>
    <row r="56" spans="1:24" s="2" customFormat="1" ht="67.8" customHeight="1" thickBot="1" x14ac:dyDescent="0.55000000000000004">
      <c r="A56" s="276" t="s">
        <v>197</v>
      </c>
      <c r="B56" s="276"/>
      <c r="C56" s="276"/>
      <c r="D56" s="219">
        <f>SUM(D51:D54)</f>
        <v>-761.22999999999956</v>
      </c>
      <c r="E56" s="219">
        <f t="shared" ref="E56:O56" si="34">E51+E54</f>
        <v>338.72999999999956</v>
      </c>
      <c r="F56" s="219">
        <f t="shared" si="34"/>
        <v>4156.1400000000012</v>
      </c>
      <c r="G56" s="219">
        <f t="shared" si="34"/>
        <v>-7239.010000000002</v>
      </c>
      <c r="H56" s="219">
        <f t="shared" si="34"/>
        <v>-5464.3899999999958</v>
      </c>
      <c r="I56" s="219">
        <f t="shared" si="34"/>
        <v>26706.04</v>
      </c>
      <c r="J56" s="219">
        <f t="shared" si="34"/>
        <v>10245.009999999995</v>
      </c>
      <c r="K56" s="219">
        <f t="shared" si="34"/>
        <v>7747.9499999999971</v>
      </c>
      <c r="L56" s="219">
        <f t="shared" si="34"/>
        <v>-2817.2699999999968</v>
      </c>
      <c r="M56" s="219">
        <f t="shared" si="34"/>
        <v>8277.760000000002</v>
      </c>
      <c r="N56" s="219">
        <f t="shared" si="34"/>
        <v>-12346.470000000001</v>
      </c>
      <c r="O56" s="219">
        <f t="shared" si="34"/>
        <v>-9626.7200000000012</v>
      </c>
      <c r="P56" s="5"/>
      <c r="Q56" s="220">
        <f>SUM(Q51,Q54)</f>
        <v>19216</v>
      </c>
      <c r="R56" s="71" t="s">
        <v>3</v>
      </c>
      <c r="S56" s="37"/>
      <c r="T56"/>
      <c r="U56"/>
      <c r="V56"/>
      <c r="W56"/>
      <c r="X56"/>
    </row>
    <row r="57" spans="1:24" ht="25.2" hidden="1" thickBot="1" x14ac:dyDescent="0.45">
      <c r="A57" s="53"/>
      <c r="B57" s="266" t="s">
        <v>200</v>
      </c>
      <c r="C57" s="266"/>
      <c r="D57" s="52"/>
      <c r="E57" s="54" t="e">
        <f ca="1">SUM($D56:E$59)</f>
        <v>#REF!</v>
      </c>
      <c r="F57" s="54" t="e">
        <f ca="1">SUM($D56:F$59)</f>
        <v>#REF!</v>
      </c>
      <c r="G57" s="54" t="e">
        <f ca="1">SUM($D56:G$59)</f>
        <v>#REF!</v>
      </c>
      <c r="H57" s="54" t="e">
        <f ca="1">SUM($D56:H$59)</f>
        <v>#REF!</v>
      </c>
      <c r="I57" s="54" t="e">
        <f ca="1">SUM($D56:I$59)</f>
        <v>#REF!</v>
      </c>
      <c r="J57" s="54" t="e">
        <f ca="1">SUM($D56:J$59)</f>
        <v>#REF!</v>
      </c>
      <c r="K57" s="54" t="e">
        <f ca="1">SUM($D56:K$59)</f>
        <v>#REF!</v>
      </c>
      <c r="L57" s="54" t="e">
        <f ca="1">SUM($D56:L$59)</f>
        <v>#REF!</v>
      </c>
      <c r="M57" s="54" t="e">
        <f ca="1">SUM($D56:M$59)</f>
        <v>#REF!</v>
      </c>
      <c r="N57" s="54" t="e">
        <f ca="1">SUM($D56:N$59)</f>
        <v>#REF!</v>
      </c>
      <c r="P57" s="5"/>
      <c r="Q57" s="220">
        <f>SUM(D56:O56)</f>
        <v>19216.54</v>
      </c>
      <c r="R57" s="35"/>
      <c r="S57" s="15"/>
    </row>
    <row r="58" spans="1:24" ht="25.2" thickTop="1" x14ac:dyDescent="0.4">
      <c r="A58" s="53"/>
      <c r="B58" s="231"/>
      <c r="C58" s="231"/>
      <c r="D58" s="52"/>
      <c r="E58" s="54"/>
      <c r="F58" s="54"/>
      <c r="G58" s="54"/>
      <c r="H58" s="54"/>
      <c r="I58" s="54"/>
      <c r="J58" s="54"/>
      <c r="K58" s="54"/>
      <c r="L58" s="54"/>
      <c r="M58" s="54"/>
      <c r="N58" s="54"/>
      <c r="S58" s="15"/>
    </row>
    <row r="59" spans="1:24" x14ac:dyDescent="0.4">
      <c r="A59" s="53"/>
      <c r="B59" s="231"/>
      <c r="C59" s="231"/>
      <c r="D59" s="52"/>
      <c r="E59" s="54"/>
      <c r="F59" s="54"/>
      <c r="G59" s="54"/>
      <c r="H59" s="54"/>
      <c r="I59" s="54"/>
      <c r="J59" s="54"/>
      <c r="K59" s="54"/>
      <c r="L59" s="54"/>
      <c r="M59" s="54"/>
      <c r="N59" s="54"/>
      <c r="S59" s="15"/>
    </row>
    <row r="60" spans="1:24" x14ac:dyDescent="0.4">
      <c r="A60" s="53"/>
      <c r="G60" s="54"/>
      <c r="H60" s="54"/>
      <c r="I60" s="54"/>
      <c r="J60" s="54"/>
      <c r="K60" s="54"/>
      <c r="L60" s="52"/>
      <c r="M60" s="54"/>
      <c r="N60" s="53"/>
      <c r="O60" s="53"/>
      <c r="P60" s="5"/>
      <c r="Q60" s="53"/>
      <c r="R60" s="35"/>
    </row>
    <row r="61" spans="1:24" x14ac:dyDescent="0.4">
      <c r="A61" s="53"/>
      <c r="B61" s="53"/>
      <c r="C61" s="53"/>
      <c r="D61" s="52"/>
      <c r="E61" s="52"/>
      <c r="F61" s="52"/>
      <c r="G61" s="54"/>
      <c r="H61" s="54"/>
      <c r="I61" s="54"/>
      <c r="J61" s="54"/>
      <c r="K61" s="54"/>
      <c r="L61" s="54"/>
      <c r="M61" s="54"/>
      <c r="N61" s="53"/>
      <c r="O61" s="53"/>
      <c r="P61" s="5"/>
      <c r="Q61" s="53"/>
      <c r="R61" s="35"/>
    </row>
    <row r="62" spans="1:24" x14ac:dyDescent="0.4">
      <c r="A62" s="53"/>
      <c r="B62" s="53"/>
      <c r="C62" s="53"/>
      <c r="D62" s="52"/>
      <c r="E62" s="52"/>
      <c r="F62" s="52"/>
      <c r="G62" s="54"/>
      <c r="H62" s="54"/>
      <c r="I62" s="54"/>
      <c r="J62" s="54"/>
      <c r="K62" s="54"/>
      <c r="L62" s="54"/>
      <c r="M62" s="54"/>
      <c r="N62" s="53"/>
      <c r="O62" s="53"/>
      <c r="P62" s="5"/>
      <c r="Q62" s="53"/>
      <c r="R62" s="35"/>
    </row>
    <row r="63" spans="1:24" s="15" customFormat="1" x14ac:dyDescent="0.4">
      <c r="A63" s="53"/>
      <c r="B63" s="53"/>
      <c r="C63" s="53"/>
      <c r="D63" s="52"/>
      <c r="E63" s="52"/>
      <c r="F63" s="52"/>
      <c r="G63" s="54"/>
      <c r="H63" s="54"/>
      <c r="I63" s="54"/>
      <c r="J63" s="54"/>
      <c r="K63" s="54"/>
      <c r="L63" s="54"/>
      <c r="M63" s="54"/>
      <c r="N63" s="53"/>
      <c r="O63" s="53"/>
      <c r="P63" s="5"/>
      <c r="Q63" s="53"/>
      <c r="R63" s="35"/>
    </row>
    <row r="64" spans="1:24" s="15" customFormat="1" x14ac:dyDescent="0.4">
      <c r="A64" s="53"/>
      <c r="B64" s="53"/>
      <c r="C64" s="53"/>
      <c r="D64" s="52"/>
      <c r="E64" s="52"/>
      <c r="F64" s="52"/>
      <c r="G64" s="54"/>
      <c r="H64" s="54"/>
      <c r="I64" s="54"/>
      <c r="J64" s="54"/>
      <c r="K64" s="54"/>
      <c r="L64" s="54"/>
      <c r="M64" s="54"/>
      <c r="N64" s="53"/>
      <c r="O64" s="53"/>
      <c r="P64" s="5"/>
      <c r="Q64" s="53"/>
      <c r="R64" s="35"/>
    </row>
    <row r="65" spans="1:18" s="15" customFormat="1" ht="28.5" customHeight="1" x14ac:dyDescent="0.4">
      <c r="A65" s="53"/>
      <c r="B65" s="53"/>
      <c r="C65" s="53"/>
      <c r="D65" s="52"/>
      <c r="E65" s="52"/>
      <c r="F65" s="52"/>
      <c r="G65" s="54"/>
      <c r="H65" s="54"/>
      <c r="I65" s="54"/>
      <c r="J65" s="54"/>
      <c r="K65" s="54"/>
      <c r="L65" s="54"/>
      <c r="M65" s="54"/>
      <c r="N65" s="53"/>
      <c r="O65" s="53"/>
      <c r="P65" s="53"/>
      <c r="Q65" s="53"/>
      <c r="R65" s="35"/>
    </row>
    <row r="66" spans="1:18" s="15" customFormat="1" ht="28.5" customHeight="1" x14ac:dyDescent="0.4">
      <c r="A66" s="53"/>
      <c r="B66" s="53"/>
      <c r="C66" s="53"/>
      <c r="D66" s="52"/>
      <c r="E66" s="52"/>
      <c r="F66" s="52"/>
      <c r="G66" s="54"/>
      <c r="H66" s="54"/>
      <c r="I66" s="54"/>
      <c r="J66" s="54"/>
      <c r="K66" s="54"/>
      <c r="L66" s="54"/>
      <c r="M66" s="54"/>
      <c r="N66" s="53"/>
      <c r="O66" s="53"/>
      <c r="P66" s="53"/>
      <c r="Q66" s="53"/>
      <c r="R66" s="35"/>
    </row>
    <row r="67" spans="1:18" s="15" customFormat="1" ht="28.5" customHeight="1" x14ac:dyDescent="0.4">
      <c r="A67" s="56"/>
      <c r="B67" s="56"/>
      <c r="C67" s="56"/>
      <c r="D67" s="52"/>
      <c r="E67" s="52"/>
      <c r="F67" s="52"/>
      <c r="G67" s="54"/>
      <c r="H67" s="54"/>
      <c r="I67" s="54"/>
      <c r="J67" s="54"/>
      <c r="K67" s="54"/>
      <c r="L67" s="54"/>
      <c r="M67" s="54"/>
      <c r="N67" s="53"/>
      <c r="O67" s="53"/>
      <c r="P67" s="53"/>
      <c r="Q67" s="53"/>
      <c r="R67" s="35"/>
    </row>
    <row r="68" spans="1:18" s="15" customFormat="1" ht="21" customHeight="1" x14ac:dyDescent="0.4">
      <c r="A68" s="275" t="s">
        <v>3</v>
      </c>
      <c r="B68" s="275"/>
      <c r="C68" s="112"/>
      <c r="D68" s="52"/>
      <c r="E68" s="52"/>
      <c r="F68" s="52"/>
      <c r="G68" s="54"/>
      <c r="H68" s="54"/>
      <c r="I68" s="54"/>
      <c r="J68" s="54"/>
      <c r="K68" s="54"/>
      <c r="L68" s="54"/>
      <c r="M68" s="54"/>
      <c r="N68" s="53"/>
      <c r="O68" s="53"/>
      <c r="P68" s="53"/>
      <c r="Q68" s="53"/>
      <c r="R68" s="35"/>
    </row>
    <row r="69" spans="1:18" s="15" customFormat="1" ht="21" customHeight="1" x14ac:dyDescent="0.4">
      <c r="A69" s="52"/>
      <c r="B69" s="52"/>
      <c r="C69" s="52"/>
      <c r="D69" s="52"/>
      <c r="E69" s="52"/>
      <c r="F69" s="52"/>
      <c r="G69" s="54"/>
      <c r="H69" s="54"/>
      <c r="I69" s="54"/>
      <c r="J69" s="54"/>
      <c r="K69" s="54"/>
      <c r="L69" s="54"/>
      <c r="M69" s="54"/>
      <c r="N69" s="52"/>
      <c r="O69" s="52"/>
      <c r="P69" s="52"/>
      <c r="Q69" s="52"/>
      <c r="R69" s="35"/>
    </row>
    <row r="70" spans="1:18" s="15" customFormat="1" ht="21" customHeight="1" x14ac:dyDescent="0.4">
      <c r="A70" s="52"/>
      <c r="B70" s="52"/>
      <c r="C70" s="52"/>
      <c r="D70" s="52"/>
      <c r="E70" s="52"/>
      <c r="F70" s="52"/>
      <c r="G70" s="54"/>
      <c r="H70" s="54"/>
      <c r="I70" s="54"/>
      <c r="J70" s="54"/>
      <c r="K70" s="54"/>
      <c r="L70" s="54"/>
      <c r="M70" s="54"/>
      <c r="N70" s="52"/>
      <c r="O70" s="52"/>
      <c r="P70" s="52"/>
      <c r="Q70" s="52"/>
      <c r="R70" s="35"/>
    </row>
    <row r="71" spans="1:18" s="15" customFormat="1" ht="27" customHeight="1" x14ac:dyDescent="0.4">
      <c r="A71" s="52"/>
      <c r="B71" s="52"/>
      <c r="C71" s="52"/>
      <c r="D71" s="52"/>
      <c r="E71" s="52"/>
      <c r="F71" s="52"/>
      <c r="G71" s="54"/>
      <c r="H71" s="54"/>
      <c r="I71" s="54"/>
      <c r="J71" s="54"/>
      <c r="K71" s="54"/>
      <c r="L71" s="54"/>
      <c r="M71" s="54"/>
      <c r="N71" s="52"/>
      <c r="O71" s="52"/>
      <c r="P71" s="52"/>
      <c r="Q71" s="52"/>
      <c r="R71" s="52"/>
    </row>
    <row r="72" spans="1:18" s="15" customFormat="1" ht="21" customHeight="1" x14ac:dyDescent="0.4">
      <c r="A72" s="52"/>
      <c r="B72" s="52"/>
      <c r="C72" s="52"/>
      <c r="D72" s="52"/>
      <c r="E72" s="52"/>
      <c r="F72" s="52"/>
      <c r="G72" s="54"/>
      <c r="H72" s="54"/>
      <c r="I72" s="54"/>
      <c r="J72" s="54"/>
      <c r="K72" s="54"/>
      <c r="L72" s="54"/>
      <c r="M72" s="54"/>
      <c r="N72" s="52"/>
      <c r="O72" s="52"/>
      <c r="P72" s="52"/>
      <c r="Q72" s="52"/>
      <c r="R72" s="52"/>
    </row>
    <row r="73" spans="1:18" s="15" customFormat="1" ht="21" customHeight="1" x14ac:dyDescent="0.4">
      <c r="A73" s="52"/>
      <c r="B73" s="52"/>
      <c r="C73" s="52"/>
      <c r="D73" s="52"/>
      <c r="E73" s="52"/>
      <c r="F73" s="52"/>
      <c r="G73" s="54"/>
      <c r="H73" s="54"/>
      <c r="I73" s="54"/>
      <c r="J73" s="54"/>
      <c r="K73" s="54"/>
      <c r="L73" s="54"/>
      <c r="M73" s="54"/>
      <c r="N73" s="52"/>
      <c r="O73" s="52"/>
      <c r="P73" s="52"/>
      <c r="Q73" s="52"/>
      <c r="R73" s="52"/>
    </row>
    <row r="74" spans="1:18" s="15" customFormat="1" ht="21" customHeight="1" x14ac:dyDescent="0.4">
      <c r="A74" s="52"/>
      <c r="B74" s="52"/>
      <c r="C74" s="52"/>
      <c r="D74" s="52"/>
      <c r="E74" s="52"/>
      <c r="F74" s="52"/>
      <c r="G74" s="54"/>
      <c r="H74" s="54"/>
      <c r="I74" s="54"/>
      <c r="J74" s="54"/>
      <c r="K74" s="54"/>
      <c r="L74" s="54"/>
      <c r="M74" s="54"/>
      <c r="N74" s="52"/>
      <c r="O74" s="52"/>
      <c r="P74" s="52"/>
      <c r="Q74" s="52"/>
      <c r="R74" s="52"/>
    </row>
    <row r="75" spans="1:18" s="15" customFormat="1" ht="21" customHeight="1" x14ac:dyDescent="0.4">
      <c r="A75" s="52"/>
      <c r="B75" s="52"/>
      <c r="C75" s="52"/>
      <c r="D75" s="52"/>
      <c r="E75" s="52"/>
      <c r="F75" s="52"/>
      <c r="G75" s="54"/>
      <c r="H75" s="54"/>
      <c r="I75" s="54"/>
      <c r="J75" s="54"/>
      <c r="K75" s="54"/>
      <c r="L75" s="54"/>
      <c r="M75" s="54"/>
      <c r="N75" s="52"/>
      <c r="O75" s="52"/>
      <c r="P75" s="52"/>
      <c r="Q75" s="52"/>
      <c r="R75" s="52"/>
    </row>
    <row r="76" spans="1:18" s="15" customFormat="1" ht="21" customHeight="1" x14ac:dyDescent="0.4">
      <c r="A76" s="8"/>
      <c r="B76" s="8"/>
      <c r="C76" s="8"/>
      <c r="D76" s="52"/>
      <c r="E76" s="52"/>
      <c r="F76" s="52"/>
      <c r="G76" s="54"/>
      <c r="H76" s="54"/>
      <c r="I76" s="54"/>
      <c r="J76" s="54"/>
      <c r="K76" s="54"/>
      <c r="L76" s="54"/>
      <c r="M76" s="54"/>
      <c r="N76" s="52"/>
      <c r="O76" s="52"/>
      <c r="P76" s="52"/>
      <c r="Q76" s="52"/>
      <c r="R76" s="52"/>
    </row>
    <row r="77" spans="1:18" s="15" customFormat="1" ht="21" customHeight="1" x14ac:dyDescent="0.4">
      <c r="A77" s="8"/>
      <c r="B77" s="8"/>
      <c r="C77" s="8"/>
      <c r="D77" s="52"/>
      <c r="E77" s="52"/>
      <c r="F77" s="52"/>
      <c r="G77" s="54"/>
      <c r="H77" s="54"/>
      <c r="I77" s="54"/>
      <c r="J77" s="54"/>
      <c r="K77" s="54"/>
      <c r="L77" s="54"/>
      <c r="M77" s="54"/>
      <c r="N77" s="52"/>
      <c r="O77" s="52"/>
      <c r="P77" s="52"/>
      <c r="Q77" s="52"/>
      <c r="R77" s="52"/>
    </row>
    <row r="78" spans="1:18" s="15" customFormat="1" ht="21" customHeight="1" x14ac:dyDescent="0.4">
      <c r="A78" s="8"/>
      <c r="B78" s="8"/>
      <c r="C78" s="8"/>
      <c r="D78" s="8"/>
      <c r="E78" s="8"/>
      <c r="F78" s="8"/>
      <c r="G78" s="54"/>
      <c r="H78" s="54"/>
      <c r="I78" s="54"/>
      <c r="J78" s="54"/>
      <c r="K78" s="54"/>
      <c r="L78" s="54"/>
      <c r="M78" s="54"/>
      <c r="N78" s="8"/>
      <c r="O78" s="8"/>
      <c r="P78" s="8"/>
      <c r="Q78" s="8"/>
      <c r="R78" s="8"/>
    </row>
    <row r="79" spans="1:18" ht="15.75" customHeight="1" x14ac:dyDescent="0.4">
      <c r="G79" s="54"/>
      <c r="H79" s="54"/>
      <c r="I79" s="54"/>
      <c r="J79" s="54"/>
      <c r="K79" s="54"/>
      <c r="L79" s="54"/>
      <c r="M79" s="54"/>
    </row>
    <row r="80" spans="1:18" x14ac:dyDescent="0.4">
      <c r="G80" s="54"/>
      <c r="H80" s="54"/>
      <c r="I80" s="54"/>
      <c r="J80" s="54"/>
      <c r="K80" s="54"/>
      <c r="L80" s="54"/>
      <c r="M80" s="54"/>
    </row>
    <row r="81" spans="7:13" x14ac:dyDescent="0.4">
      <c r="G81" s="54"/>
      <c r="H81" s="54"/>
      <c r="I81" s="54"/>
      <c r="J81" s="54"/>
      <c r="K81" s="54"/>
      <c r="L81" s="54"/>
      <c r="M81" s="54"/>
    </row>
    <row r="82" spans="7:13" x14ac:dyDescent="0.4">
      <c r="G82"/>
      <c r="H82"/>
      <c r="I82"/>
      <c r="J82"/>
      <c r="K82"/>
      <c r="L82"/>
      <c r="M82" s="54"/>
    </row>
    <row r="83" spans="7:13" x14ac:dyDescent="0.4">
      <c r="G83"/>
      <c r="H83"/>
      <c r="I83"/>
      <c r="J83"/>
      <c r="K83"/>
      <c r="L83"/>
      <c r="M83" s="54"/>
    </row>
    <row r="84" spans="7:13" x14ac:dyDescent="0.4">
      <c r="G84"/>
      <c r="H84"/>
      <c r="I84"/>
      <c r="J84"/>
      <c r="K84"/>
      <c r="L84"/>
      <c r="M84" s="54"/>
    </row>
    <row r="85" spans="7:13" x14ac:dyDescent="0.4">
      <c r="G85"/>
      <c r="H85"/>
      <c r="I85"/>
      <c r="J85"/>
      <c r="K85"/>
      <c r="L85"/>
      <c r="M85" s="54"/>
    </row>
    <row r="86" spans="7:13" x14ac:dyDescent="0.4">
      <c r="G86"/>
      <c r="H86"/>
      <c r="I86"/>
      <c r="J86"/>
      <c r="K86"/>
      <c r="L86"/>
      <c r="M86" s="54"/>
    </row>
    <row r="87" spans="7:13" ht="33" customHeight="1" x14ac:dyDescent="0.4">
      <c r="G87"/>
      <c r="H87"/>
      <c r="I87"/>
      <c r="J87"/>
      <c r="K87"/>
      <c r="L87"/>
      <c r="M87" s="54"/>
    </row>
    <row r="88" spans="7:13" x14ac:dyDescent="0.4">
      <c r="G88"/>
      <c r="H88"/>
      <c r="I88"/>
      <c r="J88"/>
      <c r="K88"/>
      <c r="L88"/>
      <c r="M88" s="54"/>
    </row>
    <row r="89" spans="7:13" x14ac:dyDescent="0.4">
      <c r="G89" s="54"/>
      <c r="H89" s="54"/>
      <c r="I89" s="54"/>
      <c r="J89" s="54"/>
      <c r="K89" s="54"/>
      <c r="L89" s="54"/>
      <c r="M89" s="54"/>
    </row>
  </sheetData>
  <mergeCells count="9">
    <mergeCell ref="A68:B68"/>
    <mergeCell ref="A56:C56"/>
    <mergeCell ref="D4:O4"/>
    <mergeCell ref="B57:C57"/>
    <mergeCell ref="A1:C3"/>
    <mergeCell ref="D1:Q1"/>
    <mergeCell ref="H2:M2"/>
    <mergeCell ref="H3:M3"/>
    <mergeCell ref="Q4:Q5"/>
  </mergeCells>
  <hyperlinks>
    <hyperlink ref="C54" r:id="rId1" display="https://5202729.app.netsuite.com/app/reporting/reportrunner.nl?fromreport=667&amp;regtx,tranline,kacct,x,alltranline5,IN,x,x=1166&amp;cr=293" xr:uid="{587366CC-6E80-43EA-930C-A650574CD65C}"/>
  </hyperlinks>
  <printOptions horizontalCentered="1"/>
  <pageMargins left="0.25" right="0.25" top="0.75" bottom="0.25" header="0.25" footer="0.1"/>
  <pageSetup scale="33" orientation="landscape" horizontalDpi="300" verticalDpi="300" r:id="rId2"/>
  <headerFooter alignWithMargins="0">
    <oddFooter>&amp;R&amp;"Arial,Regular"&amp;10Date: &amp;D</oddFooter>
  </headerFooter>
  <rowBreaks count="1" manualBreakCount="1">
    <brk id="52" max="16" man="1"/>
  </rowBreaks>
  <colBreaks count="1" manualBreakCount="1">
    <brk id="9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C025F-E3F5-41BA-B5B3-CDB5026B0DEC}">
  <sheetPr syncVertical="1" syncRef="D7" transitionEvaluation="1">
    <tabColor rgb="FF00B050"/>
    <pageSetUpPr fitToPage="1"/>
  </sheetPr>
  <dimension ref="A1:Y89"/>
  <sheetViews>
    <sheetView zoomScale="46" zoomScaleNormal="46" workbookViewId="0">
      <pane xSplit="3" ySplit="6" topLeftCell="D7" activePane="bottomRight" state="frozen"/>
      <selection activeCell="F36" sqref="F36"/>
      <selection pane="topRight" activeCell="F36" sqref="F36"/>
      <selection pane="bottomLeft" activeCell="F36" sqref="F36"/>
      <selection pane="bottomRight" activeCell="F36" sqref="F36"/>
    </sheetView>
  </sheetViews>
  <sheetFormatPr defaultColWidth="7.81640625" defaultRowHeight="24.6" x14ac:dyDescent="0.4"/>
  <cols>
    <col min="1" max="1" width="39.90625" style="8" customWidth="1"/>
    <col min="2" max="2" width="19" style="8" customWidth="1"/>
    <col min="3" max="3" width="14.1796875" style="8" customWidth="1"/>
    <col min="4" max="15" width="18.1796875" style="8" customWidth="1"/>
    <col min="16" max="16" width="4" style="8" customWidth="1"/>
    <col min="17" max="17" width="19" style="8" customWidth="1"/>
    <col min="18" max="18" width="4.1796875" style="8" customWidth="1"/>
    <col min="19" max="19" width="23.81640625" style="15" customWidth="1"/>
    <col min="20" max="20" width="2.81640625" style="15" customWidth="1"/>
    <col min="21" max="21" width="20.453125" style="15" customWidth="1"/>
    <col min="22" max="22" width="18.81640625" style="8" customWidth="1"/>
    <col min="23" max="23" width="39.08984375" style="8" customWidth="1"/>
    <col min="24" max="24" width="7.81640625" style="8" customWidth="1"/>
    <col min="25" max="25" width="14.90625" style="8" customWidth="1"/>
    <col min="26" max="16384" width="7.81640625" style="8"/>
  </cols>
  <sheetData>
    <row r="1" spans="1:22" s="3" customFormat="1" ht="50.4" customHeight="1" x14ac:dyDescent="0.6">
      <c r="D1" s="268" t="s">
        <v>28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"/>
      <c r="S1" s="1"/>
      <c r="T1" s="2"/>
      <c r="U1" s="2"/>
    </row>
    <row r="2" spans="1:22" s="3" customFormat="1" ht="45" customHeight="1" thickBot="1" x14ac:dyDescent="0.9">
      <c r="A2" s="281" t="s">
        <v>34</v>
      </c>
      <c r="B2" s="281"/>
      <c r="C2" s="124">
        <f>'[2]2021 Benefits Wk '!$L$1</f>
        <v>2022</v>
      </c>
      <c r="D2" s="277" t="s">
        <v>33</v>
      </c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1"/>
      <c r="S2" s="1"/>
      <c r="T2" s="2"/>
      <c r="U2" s="2"/>
    </row>
    <row r="3" spans="1:22" s="3" customFormat="1" ht="46.8" thickBot="1" x14ac:dyDescent="0.9">
      <c r="A3" s="282" t="s">
        <v>35</v>
      </c>
      <c r="B3" s="282"/>
      <c r="C3" s="283"/>
      <c r="D3" s="277" t="str">
        <f>'[2]2021 Benefits Wk '!$K$3</f>
        <v>Update for 2022 Budget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4"/>
      <c r="S3" s="110" t="s">
        <v>183</v>
      </c>
      <c r="T3" s="58"/>
      <c r="U3" s="58"/>
      <c r="V3" s="58"/>
    </row>
    <row r="4" spans="1:22" s="3" customFormat="1" ht="27.75" customHeight="1" x14ac:dyDescent="0.5">
      <c r="A4" s="125" t="s">
        <v>151</v>
      </c>
      <c r="B4" s="90" t="s">
        <v>152</v>
      </c>
      <c r="C4" s="91" t="s">
        <v>3</v>
      </c>
      <c r="D4" s="57" t="s">
        <v>0</v>
      </c>
      <c r="E4" s="6" t="s">
        <v>1</v>
      </c>
      <c r="F4" s="7" t="s">
        <v>2</v>
      </c>
      <c r="G4" s="8"/>
      <c r="H4"/>
      <c r="I4"/>
      <c r="J4"/>
      <c r="K4"/>
      <c r="L4"/>
      <c r="M4"/>
      <c r="N4"/>
      <c r="O4"/>
      <c r="P4" s="5"/>
      <c r="Q4" s="279" t="str">
        <f>'[2]2021 Benefits Wk '!$K$2</f>
        <v>2022 Budget</v>
      </c>
      <c r="R4" s="4"/>
      <c r="S4" s="160" t="s">
        <v>181</v>
      </c>
      <c r="T4" s="58"/>
      <c r="U4" s="58"/>
      <c r="V4" s="58"/>
    </row>
    <row r="5" spans="1:22" ht="30.75" customHeight="1" thickBot="1" x14ac:dyDescent="0.55000000000000004">
      <c r="B5" s="59" t="s">
        <v>3</v>
      </c>
      <c r="C5" s="59"/>
      <c r="D5" s="168" t="s">
        <v>187</v>
      </c>
      <c r="E5" s="168" t="s">
        <v>187</v>
      </c>
      <c r="F5" s="168" t="s">
        <v>187</v>
      </c>
      <c r="G5" s="168" t="s">
        <v>187</v>
      </c>
      <c r="H5" s="168" t="s">
        <v>187</v>
      </c>
      <c r="I5" s="168" t="s">
        <v>187</v>
      </c>
      <c r="J5" s="168" t="s">
        <v>187</v>
      </c>
      <c r="K5" s="168" t="s">
        <v>187</v>
      </c>
      <c r="L5" s="168" t="s">
        <v>187</v>
      </c>
      <c r="M5" s="168" t="s">
        <v>187</v>
      </c>
      <c r="N5" s="168" t="s">
        <v>187</v>
      </c>
      <c r="O5" s="168" t="s">
        <v>187</v>
      </c>
      <c r="P5" s="66"/>
      <c r="Q5" s="280"/>
      <c r="R5" s="28"/>
      <c r="S5" s="161" t="s">
        <v>182</v>
      </c>
      <c r="T5" s="28"/>
      <c r="U5" s="28"/>
      <c r="V5" s="28"/>
    </row>
    <row r="6" spans="1:22" s="3" customFormat="1" ht="49.8" thickBot="1" x14ac:dyDescent="0.45">
      <c r="A6" s="10" t="s">
        <v>4</v>
      </c>
      <c r="B6" s="10"/>
      <c r="C6" s="10"/>
      <c r="D6" s="97" t="s">
        <v>24</v>
      </c>
      <c r="E6" s="97" t="s">
        <v>25</v>
      </c>
      <c r="F6" s="97" t="s">
        <v>26</v>
      </c>
      <c r="G6" s="97" t="s">
        <v>27</v>
      </c>
      <c r="H6" s="97" t="s">
        <v>9</v>
      </c>
      <c r="I6" s="11" t="s">
        <v>10</v>
      </c>
      <c r="J6" s="97" t="s">
        <v>11</v>
      </c>
      <c r="K6" s="60" t="s">
        <v>12</v>
      </c>
      <c r="L6" s="60" t="s">
        <v>13</v>
      </c>
      <c r="M6" s="60" t="s">
        <v>14</v>
      </c>
      <c r="N6" s="60" t="s">
        <v>15</v>
      </c>
      <c r="O6" s="60" t="s">
        <v>16</v>
      </c>
      <c r="P6" s="5"/>
      <c r="Q6" s="67" t="s">
        <v>32</v>
      </c>
      <c r="R6" s="68"/>
      <c r="S6" s="159" t="s">
        <v>184</v>
      </c>
      <c r="T6" s="13"/>
      <c r="U6" s="164" t="s">
        <v>17</v>
      </c>
    </row>
    <row r="7" spans="1:22" s="15" customFormat="1" ht="34.5" customHeight="1" x14ac:dyDescent="0.45">
      <c r="A7" s="16" t="s">
        <v>51</v>
      </c>
      <c r="B7" s="70"/>
      <c r="C7" s="69"/>
      <c r="D7" s="169">
        <v>0</v>
      </c>
      <c r="E7" s="169">
        <v>1100</v>
      </c>
      <c r="F7" s="169">
        <v>4900</v>
      </c>
      <c r="G7" s="169">
        <v>6800</v>
      </c>
      <c r="H7" s="169">
        <v>10500</v>
      </c>
      <c r="I7" s="169">
        <v>31000</v>
      </c>
      <c r="J7" s="169">
        <v>38000</v>
      </c>
      <c r="K7" s="169">
        <v>22500</v>
      </c>
      <c r="L7" s="169">
        <v>18000</v>
      </c>
      <c r="M7" s="169">
        <v>19000</v>
      </c>
      <c r="N7" s="169">
        <v>9800</v>
      </c>
      <c r="O7" s="169">
        <v>1100</v>
      </c>
      <c r="P7" s="61"/>
      <c r="Q7" s="62">
        <f t="shared" ref="Q7:Q11" si="0">SUM(D7:O7)</f>
        <v>162700</v>
      </c>
      <c r="R7" s="71" t="s">
        <v>3</v>
      </c>
      <c r="S7" s="18">
        <v>54419.020000000004</v>
      </c>
      <c r="U7" s="163">
        <f>+Q7-S7</f>
        <v>108280.98</v>
      </c>
    </row>
    <row r="8" spans="1:22" s="15" customFormat="1" ht="35.1" customHeight="1" x14ac:dyDescent="0.45">
      <c r="A8" s="16" t="s">
        <v>52</v>
      </c>
      <c r="B8" s="70"/>
      <c r="C8" s="69"/>
      <c r="D8" s="169">
        <v>0</v>
      </c>
      <c r="E8" s="169">
        <v>1500</v>
      </c>
      <c r="F8" s="169">
        <v>6200</v>
      </c>
      <c r="G8" s="169">
        <v>8600</v>
      </c>
      <c r="H8" s="169">
        <v>13800</v>
      </c>
      <c r="I8" s="169">
        <v>39600</v>
      </c>
      <c r="J8" s="169">
        <v>48400</v>
      </c>
      <c r="K8" s="169">
        <v>31000</v>
      </c>
      <c r="L8" s="169">
        <v>24500</v>
      </c>
      <c r="M8" s="169">
        <v>25000</v>
      </c>
      <c r="N8" s="169">
        <v>13500</v>
      </c>
      <c r="O8" s="169">
        <v>1800</v>
      </c>
      <c r="P8" s="61"/>
      <c r="Q8" s="62">
        <f t="shared" si="0"/>
        <v>213900</v>
      </c>
      <c r="R8" s="71" t="s">
        <v>3</v>
      </c>
      <c r="S8" s="18">
        <v>101988.27</v>
      </c>
      <c r="U8" s="162">
        <f>+Q8-S8</f>
        <v>111911.73</v>
      </c>
    </row>
    <row r="9" spans="1:22" s="15" customFormat="1" ht="35.1" customHeight="1" x14ac:dyDescent="0.4">
      <c r="A9" s="69" t="s">
        <v>185</v>
      </c>
      <c r="B9" s="70"/>
      <c r="C9" s="69"/>
      <c r="D9" s="169">
        <v>0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70">
        <v>0</v>
      </c>
      <c r="O9" s="170">
        <v>0</v>
      </c>
      <c r="P9" s="61"/>
      <c r="Q9" s="62">
        <f t="shared" si="0"/>
        <v>0</v>
      </c>
      <c r="R9" s="71" t="s">
        <v>3</v>
      </c>
      <c r="S9" s="18">
        <f>100000+77800</f>
        <v>177800</v>
      </c>
      <c r="U9" s="162">
        <f t="shared" ref="U9:U11" si="1">+Q9-S9</f>
        <v>-177800</v>
      </c>
    </row>
    <row r="10" spans="1:22" s="15" customFormat="1" ht="34.5" customHeight="1" x14ac:dyDescent="0.4">
      <c r="A10" s="127" t="s">
        <v>53</v>
      </c>
      <c r="B10" s="70"/>
      <c r="C10" s="69"/>
      <c r="D10" s="169">
        <v>0</v>
      </c>
      <c r="E10" s="169">
        <v>0</v>
      </c>
      <c r="F10" s="169">
        <v>0</v>
      </c>
      <c r="G10" s="169">
        <v>700</v>
      </c>
      <c r="H10" s="169">
        <v>2500</v>
      </c>
      <c r="I10" s="169">
        <v>3000</v>
      </c>
      <c r="J10" s="169">
        <v>2500</v>
      </c>
      <c r="K10" s="169">
        <v>2000</v>
      </c>
      <c r="L10" s="169">
        <v>1000</v>
      </c>
      <c r="M10" s="169">
        <v>1000</v>
      </c>
      <c r="N10" s="169">
        <v>0</v>
      </c>
      <c r="O10" s="169">
        <v>0</v>
      </c>
      <c r="P10" s="61"/>
      <c r="Q10" s="62">
        <f t="shared" si="0"/>
        <v>12700</v>
      </c>
      <c r="R10" s="71" t="s">
        <v>3</v>
      </c>
      <c r="S10" s="18">
        <v>1625.42</v>
      </c>
      <c r="U10" s="162">
        <f t="shared" si="1"/>
        <v>11074.58</v>
      </c>
    </row>
    <row r="11" spans="1:22" s="15" customFormat="1" ht="35.1" customHeight="1" x14ac:dyDescent="0.4">
      <c r="A11" s="127" t="s">
        <v>54</v>
      </c>
      <c r="B11" s="127"/>
      <c r="C11" s="69"/>
      <c r="D11" s="169">
        <v>0</v>
      </c>
      <c r="E11" s="169">
        <v>0</v>
      </c>
      <c r="F11" s="169">
        <v>0</v>
      </c>
      <c r="G11" s="169">
        <v>0</v>
      </c>
      <c r="H11" s="169">
        <f>'[1]Input Wrksht '!J10</f>
        <v>0</v>
      </c>
      <c r="I11" s="169">
        <f>'[1]Input Wrksht '!K10</f>
        <v>0</v>
      </c>
      <c r="J11" s="169">
        <f>'[1]Input Wrksht '!L10</f>
        <v>0</v>
      </c>
      <c r="K11" s="169">
        <v>0</v>
      </c>
      <c r="L11" s="169">
        <v>0</v>
      </c>
      <c r="M11" s="169">
        <v>0</v>
      </c>
      <c r="N11" s="170">
        <v>0</v>
      </c>
      <c r="O11" s="170">
        <v>0</v>
      </c>
      <c r="P11" s="61"/>
      <c r="Q11" s="62">
        <f t="shared" si="0"/>
        <v>0</v>
      </c>
      <c r="R11" s="71" t="s">
        <v>3</v>
      </c>
      <c r="S11" s="18">
        <v>-3201.84</v>
      </c>
      <c r="U11" s="162">
        <f t="shared" si="1"/>
        <v>3201.84</v>
      </c>
    </row>
    <row r="12" spans="1:22" s="15" customFormat="1" ht="35.1" customHeight="1" x14ac:dyDescent="0.4">
      <c r="A12" s="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R12" s="71" t="s">
        <v>3</v>
      </c>
      <c r="U12" s="20" t="s">
        <v>3</v>
      </c>
      <c r="V12" s="20" t="s">
        <v>3</v>
      </c>
    </row>
    <row r="13" spans="1:22" ht="25.5" customHeight="1" thickBot="1" x14ac:dyDescent="0.45">
      <c r="A13" s="2"/>
      <c r="B13" s="21" t="s">
        <v>18</v>
      </c>
      <c r="C13" s="21"/>
      <c r="D13" s="98">
        <f t="shared" ref="D13:N13" si="2">SUM(D7:D12)</f>
        <v>0</v>
      </c>
      <c r="E13" s="98">
        <f t="shared" si="2"/>
        <v>2600</v>
      </c>
      <c r="F13" s="98">
        <f t="shared" si="2"/>
        <v>11100</v>
      </c>
      <c r="G13" s="98">
        <f t="shared" si="2"/>
        <v>16100</v>
      </c>
      <c r="H13" s="72">
        <f t="shared" si="2"/>
        <v>26800</v>
      </c>
      <c r="I13" s="167">
        <f t="shared" si="2"/>
        <v>73600</v>
      </c>
      <c r="J13" s="167">
        <f t="shared" si="2"/>
        <v>88900</v>
      </c>
      <c r="K13" s="72">
        <f t="shared" si="2"/>
        <v>55500</v>
      </c>
      <c r="L13" s="72">
        <f t="shared" si="2"/>
        <v>43500</v>
      </c>
      <c r="M13" s="72">
        <f t="shared" si="2"/>
        <v>45000</v>
      </c>
      <c r="N13" s="72">
        <f t="shared" si="2"/>
        <v>23300</v>
      </c>
      <c r="O13" s="73">
        <f>SUM(O7:O11)</f>
        <v>2900</v>
      </c>
      <c r="P13" s="61"/>
      <c r="Q13" s="63">
        <f>SUM(Q7:Q11)</f>
        <v>389300</v>
      </c>
      <c r="R13" s="71" t="s">
        <v>3</v>
      </c>
      <c r="S13" s="94">
        <f>ROUND((SUM(S7:S12)),-1)</f>
        <v>332630</v>
      </c>
      <c r="U13" s="165">
        <f>ROUND((SUM(U7:U12)),-1)</f>
        <v>56670</v>
      </c>
      <c r="V13" s="2"/>
    </row>
    <row r="14" spans="1:22" s="2" customFormat="1" ht="19.2" customHeight="1" thickTop="1" x14ac:dyDescent="0.4">
      <c r="A14" s="74"/>
      <c r="B14" s="113"/>
      <c r="C14" s="114"/>
      <c r="D14" s="115"/>
      <c r="E14" s="115"/>
      <c r="F14" s="115"/>
      <c r="G14" s="115"/>
      <c r="H14" s="115"/>
      <c r="I14" s="116"/>
      <c r="J14" s="115"/>
      <c r="K14" s="115"/>
      <c r="L14" s="115"/>
      <c r="M14" s="115"/>
      <c r="N14" s="115"/>
      <c r="O14" s="115"/>
      <c r="P14" s="117"/>
      <c r="Q14" s="118"/>
      <c r="R14" s="71" t="s">
        <v>3</v>
      </c>
      <c r="S14" s="71" t="s">
        <v>3</v>
      </c>
      <c r="T14" s="71" t="s">
        <v>3</v>
      </c>
      <c r="U14" s="71" t="s">
        <v>3</v>
      </c>
      <c r="V14" s="71" t="s">
        <v>3</v>
      </c>
    </row>
    <row r="15" spans="1:22" ht="30" customHeight="1" x14ac:dyDescent="0.4">
      <c r="A15" s="27" t="s">
        <v>186</v>
      </c>
      <c r="B15" s="123"/>
      <c r="C15" s="64"/>
      <c r="D15" s="172">
        <v>0</v>
      </c>
      <c r="E15" s="172">
        <v>40</v>
      </c>
      <c r="F15" s="172">
        <v>125</v>
      </c>
      <c r="G15" s="172">
        <v>150</v>
      </c>
      <c r="H15" s="172">
        <v>350</v>
      </c>
      <c r="I15" s="172">
        <v>1000</v>
      </c>
      <c r="J15" s="172">
        <v>1200</v>
      </c>
      <c r="K15" s="172">
        <v>825</v>
      </c>
      <c r="L15" s="172">
        <v>750</v>
      </c>
      <c r="M15" s="172">
        <v>800</v>
      </c>
      <c r="N15" s="172">
        <v>350</v>
      </c>
      <c r="O15" s="172">
        <v>50</v>
      </c>
      <c r="P15" s="5"/>
      <c r="Q15" s="171">
        <f>SUM(D15:O15)</f>
        <v>5640</v>
      </c>
      <c r="R15" s="71" t="s">
        <v>3</v>
      </c>
      <c r="S15" s="95">
        <f>'[3]TOC 2021 R&amp;E - Revised '!$Q$18</f>
        <v>1547</v>
      </c>
      <c r="T15" s="2"/>
      <c r="U15" s="8"/>
    </row>
    <row r="16" spans="1:22" ht="18" customHeight="1" x14ac:dyDescent="0.4">
      <c r="A16" s="75"/>
      <c r="B16" s="92"/>
      <c r="C16" s="93"/>
      <c r="D16" s="99"/>
      <c r="E16" s="99"/>
      <c r="F16" s="99"/>
      <c r="G16" s="99"/>
      <c r="H16" s="99"/>
      <c r="I16" s="99"/>
      <c r="J16" s="100"/>
      <c r="K16" s="99"/>
      <c r="L16" s="99"/>
      <c r="M16" s="99"/>
      <c r="N16" s="99"/>
      <c r="O16" s="99"/>
      <c r="S16" s="8"/>
      <c r="T16" s="8"/>
      <c r="U16" s="8"/>
    </row>
    <row r="17" spans="1:25" s="25" customFormat="1" ht="54.6" customHeight="1" x14ac:dyDescent="0.4">
      <c r="A17" s="76" t="s">
        <v>19</v>
      </c>
      <c r="B17" s="29"/>
      <c r="C17" s="29"/>
      <c r="D17" s="30"/>
      <c r="E17" s="69"/>
      <c r="F17" s="30"/>
      <c r="G17" s="31"/>
      <c r="H17" s="31"/>
      <c r="I17" s="31"/>
      <c r="J17" s="31"/>
      <c r="K17" s="31"/>
      <c r="L17" s="31"/>
      <c r="M17" s="31"/>
      <c r="N17" s="31"/>
      <c r="P17" s="61"/>
      <c r="Q17" s="67" t="s">
        <v>31</v>
      </c>
      <c r="R17" s="71" t="s">
        <v>3</v>
      </c>
      <c r="S17" s="12" t="s">
        <v>20</v>
      </c>
      <c r="T17" s="26"/>
      <c r="U17" s="14" t="s">
        <v>17</v>
      </c>
      <c r="V17" s="3"/>
    </row>
    <row r="18" spans="1:25" s="25" customFormat="1" ht="31.5" customHeight="1" x14ac:dyDescent="0.4">
      <c r="A18" s="33"/>
      <c r="B18" s="33" t="s">
        <v>3</v>
      </c>
      <c r="C18" s="33"/>
      <c r="D18" s="34" t="str">
        <f t="shared" ref="D18:O18" si="3">IF((+D$7+D$8)=0," ",D19/(+D$7+D$8))</f>
        <v xml:space="preserve"> </v>
      </c>
      <c r="E18" s="34">
        <f t="shared" si="3"/>
        <v>0.23846153846153847</v>
      </c>
      <c r="F18" s="34">
        <f t="shared" si="3"/>
        <v>0.23963963963963963</v>
      </c>
      <c r="G18" s="34">
        <f t="shared" si="3"/>
        <v>0.24025974025974026</v>
      </c>
      <c r="H18" s="34">
        <f t="shared" si="3"/>
        <v>0.23991769547325104</v>
      </c>
      <c r="I18" s="34">
        <f t="shared" si="3"/>
        <v>0.23994334277620397</v>
      </c>
      <c r="J18" s="34">
        <f t="shared" si="3"/>
        <v>0.24004629629629629</v>
      </c>
      <c r="K18" s="34">
        <f t="shared" si="3"/>
        <v>0.24</v>
      </c>
      <c r="L18" s="34">
        <f t="shared" si="3"/>
        <v>0.24</v>
      </c>
      <c r="M18" s="77">
        <f t="shared" si="3"/>
        <v>0.24</v>
      </c>
      <c r="N18" s="77">
        <f t="shared" si="3"/>
        <v>0.23991416309012875</v>
      </c>
      <c r="O18" s="77">
        <f t="shared" si="3"/>
        <v>0.2413793103448276</v>
      </c>
      <c r="P18" s="5"/>
      <c r="Q18" s="78">
        <f>IF((+Q$7+Q$8)=0," ",Q19/(+Q$7+Q$8))</f>
        <v>0.23998937865108869</v>
      </c>
      <c r="R18" s="71" t="s">
        <v>3</v>
      </c>
      <c r="S18" s="96">
        <v>0.38323021900066168</v>
      </c>
      <c r="U18" s="37"/>
      <c r="V18" s="33"/>
      <c r="Y18" s="122" t="s">
        <v>29</v>
      </c>
    </row>
    <row r="19" spans="1:25" s="3" customFormat="1" ht="27" x14ac:dyDescent="0.5">
      <c r="A19" s="79" t="s">
        <v>55</v>
      </c>
      <c r="B19" s="79"/>
      <c r="C19" s="79"/>
      <c r="D19" s="80" t="s">
        <v>3</v>
      </c>
      <c r="E19" s="80">
        <f>ROUND((E7+E8)*24%,-1)</f>
        <v>620</v>
      </c>
      <c r="F19" s="80">
        <f t="shared" ref="F19:O19" si="4">ROUND((F7+F8)*24%,-1)</f>
        <v>2660</v>
      </c>
      <c r="G19" s="80">
        <f t="shared" si="4"/>
        <v>3700</v>
      </c>
      <c r="H19" s="80">
        <f t="shared" si="4"/>
        <v>5830</v>
      </c>
      <c r="I19" s="80">
        <f t="shared" si="4"/>
        <v>16940</v>
      </c>
      <c r="J19" s="80">
        <f t="shared" si="4"/>
        <v>20740</v>
      </c>
      <c r="K19" s="80">
        <f t="shared" si="4"/>
        <v>12840</v>
      </c>
      <c r="L19" s="80">
        <f t="shared" si="4"/>
        <v>10200</v>
      </c>
      <c r="M19" s="80">
        <f t="shared" si="4"/>
        <v>10560</v>
      </c>
      <c r="N19" s="80">
        <f t="shared" si="4"/>
        <v>5590</v>
      </c>
      <c r="O19" s="80">
        <f t="shared" si="4"/>
        <v>700</v>
      </c>
      <c r="P19" s="81"/>
      <c r="Q19" s="80">
        <f>SUM(D19:O19)</f>
        <v>90380</v>
      </c>
      <c r="R19" s="71" t="s">
        <v>3</v>
      </c>
      <c r="S19" s="111">
        <v>59940</v>
      </c>
      <c r="T19" s="9"/>
      <c r="U19" s="2">
        <f>+Q19-S19</f>
        <v>30440</v>
      </c>
      <c r="V19" s="2"/>
      <c r="Y19" s="121">
        <f>SUM(Q7:Q8)*0.24</f>
        <v>90384</v>
      </c>
    </row>
    <row r="20" spans="1:25" s="33" customFormat="1" ht="27" customHeight="1" x14ac:dyDescent="0.4">
      <c r="A20" s="32"/>
      <c r="B20" s="32"/>
      <c r="C20" s="32"/>
      <c r="D20" s="40" t="str">
        <f t="shared" ref="D20:O20" si="5">IF((+D$7+D$8)=0," ",(+D21+D22)/(+D$7+D$8))</f>
        <v xml:space="preserve"> </v>
      </c>
      <c r="E20" s="40">
        <f t="shared" si="5"/>
        <v>1.6270185488270594</v>
      </c>
      <c r="F20" s="40">
        <f t="shared" si="5"/>
        <v>0.45317339207995272</v>
      </c>
      <c r="G20" s="40">
        <f t="shared" si="5"/>
        <v>0.36689771290656248</v>
      </c>
      <c r="H20" s="40">
        <f t="shared" si="5"/>
        <v>0.32305507064035016</v>
      </c>
      <c r="I20" s="40">
        <f t="shared" si="5"/>
        <v>0.19051344292679845</v>
      </c>
      <c r="J20" s="40">
        <f t="shared" si="5"/>
        <v>0.18808131054131053</v>
      </c>
      <c r="K20" s="40">
        <f t="shared" si="5"/>
        <v>0.1729019449355898</v>
      </c>
      <c r="L20" s="40">
        <f t="shared" si="5"/>
        <v>0.21765303656597773</v>
      </c>
      <c r="M20" s="40">
        <f t="shared" si="5"/>
        <v>0.21023304668304668</v>
      </c>
      <c r="N20" s="40">
        <f t="shared" si="5"/>
        <v>0.31031058002243866</v>
      </c>
      <c r="O20" s="40">
        <f t="shared" si="5"/>
        <v>2.1897333695357046</v>
      </c>
      <c r="P20" s="32"/>
      <c r="Q20" s="40">
        <f>IF((+Q$7+Q$8)=0," ",(+Q21+Q22)/(+Q$7+Q$8))</f>
        <v>0.2602767930352905</v>
      </c>
      <c r="R20" s="71" t="s">
        <v>3</v>
      </c>
      <c r="S20" s="41">
        <v>0.58936089232157907</v>
      </c>
      <c r="T20" s="32"/>
      <c r="U20" s="37"/>
      <c r="V20" s="42"/>
    </row>
    <row r="21" spans="1:25" s="2" customFormat="1" ht="35.1" customHeight="1" x14ac:dyDescent="0.45">
      <c r="A21" s="16" t="s">
        <v>36</v>
      </c>
      <c r="B21" s="16"/>
      <c r="C21" s="16"/>
      <c r="D21" s="43">
        <f>ROUND((55000/26*2),-1)</f>
        <v>4230</v>
      </c>
      <c r="E21" s="43">
        <f t="shared" ref="E21" si="6">ROUND((55000/26*2),-1)</f>
        <v>4230</v>
      </c>
      <c r="F21" s="43">
        <f>ROUND((55000/26*2),-1)+800</f>
        <v>5030</v>
      </c>
      <c r="G21" s="43">
        <v>5650</v>
      </c>
      <c r="H21" s="43">
        <v>7850</v>
      </c>
      <c r="I21" s="43">
        <v>13450</v>
      </c>
      <c r="J21" s="43">
        <v>16250</v>
      </c>
      <c r="K21" s="43">
        <v>9250</v>
      </c>
      <c r="L21" s="43">
        <v>9250</v>
      </c>
      <c r="M21" s="43">
        <v>9250</v>
      </c>
      <c r="N21" s="43">
        <f>ROUND((55000/26*2),-1)+3000</f>
        <v>7230</v>
      </c>
      <c r="O21" s="43">
        <f>ROUND((55000/26*3),-1)</f>
        <v>6350</v>
      </c>
      <c r="P21" s="17"/>
      <c r="Q21" s="39">
        <f>SUM(D21:O21)</f>
        <v>98020</v>
      </c>
      <c r="R21" s="71" t="s">
        <v>3</v>
      </c>
      <c r="S21" s="19">
        <v>92180.34</v>
      </c>
      <c r="U21" s="2">
        <f>+Q21-S21</f>
        <v>5839.6600000000035</v>
      </c>
      <c r="V21" s="42"/>
    </row>
    <row r="22" spans="1:25" s="33" customFormat="1" ht="27" customHeight="1" x14ac:dyDescent="0.4">
      <c r="A22" s="32"/>
      <c r="B22" s="32"/>
      <c r="C22" s="32"/>
      <c r="D22" s="40">
        <f t="shared" ref="D22:O22" si="7">IF(+D$21=0," ",D23/+D$21)</f>
        <v>0.24113475177304963</v>
      </c>
      <c r="E22" s="40">
        <f t="shared" si="7"/>
        <v>0.24822695035460993</v>
      </c>
      <c r="F22" s="40">
        <f t="shared" si="7"/>
        <v>0.22465208747514911</v>
      </c>
      <c r="G22" s="40">
        <f t="shared" si="7"/>
        <v>0.22477876106194691</v>
      </c>
      <c r="H22" s="40">
        <f t="shared" si="7"/>
        <v>0.23821656050955414</v>
      </c>
      <c r="I22" s="40">
        <f t="shared" si="7"/>
        <v>0.24907063197026022</v>
      </c>
      <c r="J22" s="40">
        <f t="shared" si="7"/>
        <v>0.22523076923076923</v>
      </c>
      <c r="K22" s="40">
        <f t="shared" si="7"/>
        <v>0.25405405405405407</v>
      </c>
      <c r="L22" s="40">
        <f t="shared" si="7"/>
        <v>0.25405405405405407</v>
      </c>
      <c r="M22" s="40">
        <f t="shared" si="7"/>
        <v>0.25405405405405407</v>
      </c>
      <c r="N22" s="40">
        <f t="shared" si="7"/>
        <v>0.23651452282157676</v>
      </c>
      <c r="O22" s="40">
        <f t="shared" si="7"/>
        <v>0.22677165354330708</v>
      </c>
      <c r="P22" s="44"/>
      <c r="Q22" s="40">
        <f t="shared" ref="Q22" si="8">IF(+Q$21=0," ",Q23/+Q$21)</f>
        <v>0.24025709038971638</v>
      </c>
      <c r="R22" s="71" t="s">
        <v>3</v>
      </c>
      <c r="S22" s="36">
        <v>0.16635465009335559</v>
      </c>
      <c r="T22" s="32"/>
      <c r="U22" s="37"/>
      <c r="V22" s="42"/>
    </row>
    <row r="23" spans="1:25" s="15" customFormat="1" ht="34.5" customHeight="1" x14ac:dyDescent="0.45">
      <c r="A23" s="16" t="s">
        <v>48</v>
      </c>
      <c r="B23" s="16"/>
      <c r="C23" s="16"/>
      <c r="D23" s="43">
        <f>ROUND((D21*22.35%),-1)+70</f>
        <v>1020</v>
      </c>
      <c r="E23" s="43">
        <v>1050</v>
      </c>
      <c r="F23" s="43">
        <f t="shared" ref="F23:J23" si="9">ROUND((F21*22.5%),-1)</f>
        <v>1130</v>
      </c>
      <c r="G23" s="43">
        <f t="shared" si="9"/>
        <v>1270</v>
      </c>
      <c r="H23" s="43">
        <v>1870</v>
      </c>
      <c r="I23" s="43">
        <v>3350</v>
      </c>
      <c r="J23" s="43">
        <f t="shared" si="9"/>
        <v>3660</v>
      </c>
      <c r="K23" s="43">
        <v>2350</v>
      </c>
      <c r="L23" s="43">
        <v>2350</v>
      </c>
      <c r="M23" s="43">
        <v>2350</v>
      </c>
      <c r="N23" s="43">
        <v>1710</v>
      </c>
      <c r="O23" s="43">
        <f>ROUND((O21*22.5%),-1)+10</f>
        <v>1440</v>
      </c>
      <c r="P23" s="17"/>
      <c r="Q23" s="39">
        <f t="shared" ref="Q23:Q49" si="10">SUM(D23:O23)</f>
        <v>23550</v>
      </c>
      <c r="R23" s="71" t="s">
        <v>3</v>
      </c>
      <c r="S23" s="19">
        <v>26019.079999999998</v>
      </c>
      <c r="U23" s="2">
        <f>+Q23-S23</f>
        <v>-2469.0799999999981</v>
      </c>
      <c r="V23" s="42"/>
    </row>
    <row r="24" spans="1:25" s="33" customFormat="1" ht="27" customHeight="1" x14ac:dyDescent="0.4">
      <c r="A24" s="32"/>
      <c r="B24" s="32"/>
      <c r="C24" s="32"/>
      <c r="D24" s="40" t="str">
        <f t="shared" ref="D24:O24" si="11">IF((+D$7+D$8)=0," ",D25/(+D$7+D$8))</f>
        <v xml:space="preserve"> </v>
      </c>
      <c r="E24" s="40">
        <f t="shared" si="11"/>
        <v>6.9230769230769235E-2</v>
      </c>
      <c r="F24" s="40">
        <f t="shared" si="11"/>
        <v>0</v>
      </c>
      <c r="G24" s="40">
        <f t="shared" si="11"/>
        <v>0</v>
      </c>
      <c r="H24" s="40">
        <f t="shared" si="11"/>
        <v>0</v>
      </c>
      <c r="I24" s="40">
        <f t="shared" si="11"/>
        <v>2.8328611898016999E-3</v>
      </c>
      <c r="J24" s="40">
        <f t="shared" si="11"/>
        <v>3.0092592592592593E-3</v>
      </c>
      <c r="K24" s="40">
        <f t="shared" si="11"/>
        <v>0</v>
      </c>
      <c r="L24" s="40">
        <f t="shared" si="11"/>
        <v>0</v>
      </c>
      <c r="M24" s="40">
        <f t="shared" si="11"/>
        <v>4.0909090909090912E-3</v>
      </c>
      <c r="N24" s="40">
        <f t="shared" si="11"/>
        <v>1.201716738197425E-2</v>
      </c>
      <c r="O24" s="40">
        <f t="shared" si="11"/>
        <v>0</v>
      </c>
      <c r="P24" s="32"/>
      <c r="Q24" s="40">
        <f>IF((+Q$7+Q$8)=0," ",(+Q25+Q26)/(+Q$7+Q$8))</f>
        <v>2.9215082641863067E-3</v>
      </c>
      <c r="R24" s="71" t="s">
        <v>3</v>
      </c>
      <c r="S24" s="36">
        <v>5.9714927609831985E-2</v>
      </c>
      <c r="T24" s="32"/>
      <c r="U24" s="37"/>
      <c r="V24" s="42"/>
    </row>
    <row r="25" spans="1:25" s="15" customFormat="1" ht="35.1" customHeight="1" x14ac:dyDescent="0.45">
      <c r="A25" s="16" t="s">
        <v>49</v>
      </c>
      <c r="B25" s="16"/>
      <c r="C25" s="16"/>
      <c r="D25" s="43">
        <v>0</v>
      </c>
      <c r="E25" s="43">
        <v>180</v>
      </c>
      <c r="F25" s="43">
        <v>0</v>
      </c>
      <c r="G25" s="43">
        <v>0</v>
      </c>
      <c r="H25" s="43">
        <v>0</v>
      </c>
      <c r="I25" s="43">
        <v>200</v>
      </c>
      <c r="J25" s="43">
        <v>260</v>
      </c>
      <c r="K25" s="43">
        <v>0</v>
      </c>
      <c r="L25" s="43">
        <v>0</v>
      </c>
      <c r="M25" s="43">
        <v>180</v>
      </c>
      <c r="N25" s="43">
        <v>280</v>
      </c>
      <c r="O25" s="43">
        <v>0</v>
      </c>
      <c r="P25" s="17"/>
      <c r="Q25" s="39">
        <f t="shared" si="10"/>
        <v>1100</v>
      </c>
      <c r="R25" s="71" t="s">
        <v>3</v>
      </c>
      <c r="S25" s="19">
        <f>9339.85+1634</f>
        <v>10973.85</v>
      </c>
      <c r="U25" s="2">
        <f>+Q25-S25</f>
        <v>-9873.85</v>
      </c>
      <c r="V25" s="42"/>
    </row>
    <row r="26" spans="1:25" s="33" customFormat="1" ht="27" customHeight="1" x14ac:dyDescent="0.4">
      <c r="A26" s="32"/>
      <c r="B26" s="32"/>
      <c r="C26" s="32"/>
      <c r="D26" s="40" t="str">
        <f t="shared" ref="D26:O26" si="12">IF(+D$7=0," ",D27/+D$7)</f>
        <v xml:space="preserve"> </v>
      </c>
      <c r="E26" s="40">
        <f t="shared" si="12"/>
        <v>0.23636363636363636</v>
      </c>
      <c r="F26" s="40">
        <f t="shared" si="12"/>
        <v>0.24081632653061225</v>
      </c>
      <c r="G26" s="40">
        <f t="shared" si="12"/>
        <v>0.23970588235294119</v>
      </c>
      <c r="H26" s="40">
        <f t="shared" si="12"/>
        <v>0.24</v>
      </c>
      <c r="I26" s="40">
        <f t="shared" si="12"/>
        <v>0.24</v>
      </c>
      <c r="J26" s="40">
        <f t="shared" si="12"/>
        <v>0.24</v>
      </c>
      <c r="K26" s="40">
        <f t="shared" si="12"/>
        <v>0.24</v>
      </c>
      <c r="L26" s="40">
        <f t="shared" si="12"/>
        <v>0.24055555555555555</v>
      </c>
      <c r="M26" s="40">
        <f t="shared" si="12"/>
        <v>0.24</v>
      </c>
      <c r="N26" s="40">
        <f t="shared" si="12"/>
        <v>0.23979591836734693</v>
      </c>
      <c r="O26" s="40">
        <f t="shared" si="12"/>
        <v>0.23636363636363636</v>
      </c>
      <c r="P26" s="32"/>
      <c r="Q26" s="119">
        <f>IF(+Q$7=0," ",Q27/+Q$7)</f>
        <v>0.24001229256299939</v>
      </c>
      <c r="R26" s="71" t="s">
        <v>3</v>
      </c>
      <c r="S26" s="36">
        <v>1.0443886598891906E-2</v>
      </c>
      <c r="T26" s="32"/>
      <c r="U26" s="37"/>
      <c r="V26" s="42"/>
    </row>
    <row r="27" spans="1:25" s="15" customFormat="1" ht="35.1" customHeight="1" x14ac:dyDescent="0.45">
      <c r="A27" s="16" t="s">
        <v>37</v>
      </c>
      <c r="B27" s="16"/>
      <c r="C27" s="16"/>
      <c r="D27" s="43">
        <f t="shared" ref="D27" si="13">ROUND((D7*25%),-1)</f>
        <v>0</v>
      </c>
      <c r="E27" s="43">
        <f>ROUND((E7*24%),-1)</f>
        <v>260</v>
      </c>
      <c r="F27" s="43">
        <f t="shared" ref="F27:O27" si="14">ROUND((F7*24%),-1)</f>
        <v>1180</v>
      </c>
      <c r="G27" s="43">
        <f t="shared" si="14"/>
        <v>1630</v>
      </c>
      <c r="H27" s="43">
        <f t="shared" si="14"/>
        <v>2520</v>
      </c>
      <c r="I27" s="43">
        <f t="shared" si="14"/>
        <v>7440</v>
      </c>
      <c r="J27" s="43">
        <f t="shared" si="14"/>
        <v>9120</v>
      </c>
      <c r="K27" s="43">
        <f t="shared" si="14"/>
        <v>5400</v>
      </c>
      <c r="L27" s="43">
        <f>ROUND((L7*24%),-1)+10</f>
        <v>4330</v>
      </c>
      <c r="M27" s="43">
        <f t="shared" si="14"/>
        <v>4560</v>
      </c>
      <c r="N27" s="43">
        <f t="shared" si="14"/>
        <v>2350</v>
      </c>
      <c r="O27" s="43">
        <f t="shared" si="14"/>
        <v>260</v>
      </c>
      <c r="P27" s="17"/>
      <c r="Q27" s="39">
        <f t="shared" si="10"/>
        <v>39050</v>
      </c>
      <c r="R27" s="71" t="s">
        <v>3</v>
      </c>
      <c r="S27" s="19">
        <v>48951.95</v>
      </c>
      <c r="U27" s="2">
        <f>+Q27-S27</f>
        <v>-9901.9499999999971</v>
      </c>
      <c r="V27" s="42"/>
      <c r="X27" s="33"/>
    </row>
    <row r="28" spans="1:25" s="33" customFormat="1" ht="27" customHeight="1" x14ac:dyDescent="0.4">
      <c r="A28" s="32"/>
      <c r="B28" s="32"/>
      <c r="C28" s="32"/>
      <c r="D28" s="40" t="str">
        <f t="shared" ref="D28:O28" si="15">IF((+D$7+D$8)=0," ",D29/(+D$7+D$8))</f>
        <v xml:space="preserve"> </v>
      </c>
      <c r="E28" s="40">
        <f t="shared" si="15"/>
        <v>3.8461538461538464E-2</v>
      </c>
      <c r="F28" s="40">
        <f t="shared" si="15"/>
        <v>9.0090090090090089E-3</v>
      </c>
      <c r="G28" s="40">
        <f t="shared" si="15"/>
        <v>6.4935064935064939E-3</v>
      </c>
      <c r="H28" s="40">
        <f t="shared" si="15"/>
        <v>8.23045267489712E-3</v>
      </c>
      <c r="I28" s="40">
        <f t="shared" si="15"/>
        <v>4.9575070821529744E-3</v>
      </c>
      <c r="J28" s="40">
        <f t="shared" si="15"/>
        <v>4.0509259259259257E-3</v>
      </c>
      <c r="K28" s="40">
        <f t="shared" si="15"/>
        <v>6.5420560747663555E-3</v>
      </c>
      <c r="L28" s="40">
        <f t="shared" si="15"/>
        <v>8.2352941176470594E-3</v>
      </c>
      <c r="M28" s="40">
        <f t="shared" si="15"/>
        <v>2.2727272727272726E-3</v>
      </c>
      <c r="N28" s="40">
        <f t="shared" si="15"/>
        <v>4.2918454935622317E-3</v>
      </c>
      <c r="O28" s="40">
        <f t="shared" si="15"/>
        <v>1.7241379310344827E-2</v>
      </c>
      <c r="P28" s="32"/>
      <c r="Q28" s="40">
        <f t="shared" ref="Q28" si="16">IF(+Q$21=0," ",Q29/+Q$21)</f>
        <v>2.2444399102224035E-2</v>
      </c>
      <c r="R28" s="71" t="s">
        <v>3</v>
      </c>
      <c r="S28" s="36">
        <v>2.8493109240624266E-2</v>
      </c>
      <c r="T28" s="32"/>
      <c r="U28" s="37"/>
      <c r="V28" s="42"/>
    </row>
    <row r="29" spans="1:25" s="15" customFormat="1" ht="35.1" customHeight="1" x14ac:dyDescent="0.45">
      <c r="A29" s="16" t="s">
        <v>38</v>
      </c>
      <c r="B29" s="16"/>
      <c r="C29" s="16"/>
      <c r="D29" s="43">
        <v>50</v>
      </c>
      <c r="E29" s="43">
        <v>100</v>
      </c>
      <c r="F29" s="43">
        <v>100</v>
      </c>
      <c r="G29" s="43">
        <v>100</v>
      </c>
      <c r="H29" s="43">
        <v>200</v>
      </c>
      <c r="I29" s="43">
        <v>350</v>
      </c>
      <c r="J29" s="43">
        <f>I29</f>
        <v>350</v>
      </c>
      <c r="K29" s="43">
        <f>J29</f>
        <v>350</v>
      </c>
      <c r="L29" s="43">
        <f>K29</f>
        <v>350</v>
      </c>
      <c r="M29" s="43">
        <f>G29</f>
        <v>100</v>
      </c>
      <c r="N29" s="43">
        <f>M29</f>
        <v>100</v>
      </c>
      <c r="O29" s="43">
        <v>50</v>
      </c>
      <c r="P29" s="17"/>
      <c r="Q29" s="39">
        <f t="shared" si="10"/>
        <v>2200</v>
      </c>
      <c r="R29" s="71" t="s">
        <v>3</v>
      </c>
      <c r="S29" s="19">
        <v>4456.53</v>
      </c>
      <c r="U29" s="2">
        <f>+Q29-S29</f>
        <v>-2256.5299999999997</v>
      </c>
      <c r="V29" s="42"/>
    </row>
    <row r="30" spans="1:25" s="33" customFormat="1" ht="27" customHeight="1" x14ac:dyDescent="0.4">
      <c r="A30" s="32"/>
      <c r="D30" s="40" t="str">
        <f>IF((+D$7+D$8)=0," ",D31/(+D$7+D$8))</f>
        <v xml:space="preserve"> </v>
      </c>
      <c r="E30" s="40">
        <f>IF((+E$7+E$8)=0," ",E31/(+E$7+E$8))</f>
        <v>2.1153846153846154</v>
      </c>
      <c r="F30" s="40">
        <f>IF((+F$7+F$8)=0," ",F31/(+F$7+F$8))</f>
        <v>0.46846846846846846</v>
      </c>
      <c r="G30" s="40">
        <f>IF((+G$7+G$8)=0," ",G31/(+G$7+G$8))</f>
        <v>0.23376623376623376</v>
      </c>
      <c r="H30" s="40">
        <f>IF((+H$7+H$8)=0," ",H31/(+H$7+H$8))</f>
        <v>0.15226337448559671</v>
      </c>
      <c r="I30" s="40">
        <f>IF((O33+I$7+I$8)=0," ",I31/(+I$7+I$8))</f>
        <v>8.4985835694050993E-2</v>
      </c>
      <c r="J30" s="40">
        <f>IF((P33+J$7+J$8)=0," ",J31/(+J$7+J$8))</f>
        <v>6.9444444444444448E-2</v>
      </c>
      <c r="K30" s="40">
        <f t="shared" ref="K30:O30" si="17">IF((+K$7+K$8)=0," ",K31/(+K$7+K$8))</f>
        <v>6.5420560747663545E-2</v>
      </c>
      <c r="L30" s="40">
        <f t="shared" si="17"/>
        <v>9.4117647058823528E-2</v>
      </c>
      <c r="M30" s="40">
        <f t="shared" si="17"/>
        <v>7.9545454545454544E-2</v>
      </c>
      <c r="N30" s="40">
        <f t="shared" si="17"/>
        <v>0.19313304721030042</v>
      </c>
      <c r="O30" s="40">
        <f t="shared" si="17"/>
        <v>1.2068965517241379</v>
      </c>
      <c r="P30" s="32"/>
      <c r="Q30" s="40">
        <f>IF((+Q$7+Q$8)=0," ",(+Q31+Q32)/(+Q$7+Q$8))</f>
        <v>0.14498170877366853</v>
      </c>
      <c r="R30" s="71" t="s">
        <v>3</v>
      </c>
      <c r="S30" s="36">
        <v>0.34025600724876698</v>
      </c>
      <c r="T30" s="32"/>
      <c r="U30" s="37"/>
      <c r="V30" s="42"/>
    </row>
    <row r="31" spans="1:25" s="15" customFormat="1" ht="35.1" customHeight="1" x14ac:dyDescent="0.45">
      <c r="A31" s="16" t="s">
        <v>39</v>
      </c>
      <c r="B31" s="45"/>
      <c r="C31" s="45"/>
      <c r="D31" s="43">
        <v>5600</v>
      </c>
      <c r="E31" s="43">
        <v>5500</v>
      </c>
      <c r="F31" s="43">
        <v>5200</v>
      </c>
      <c r="G31" s="43">
        <v>3600</v>
      </c>
      <c r="H31" s="43">
        <v>3700</v>
      </c>
      <c r="I31" s="43">
        <v>6000</v>
      </c>
      <c r="J31" s="43">
        <v>6000</v>
      </c>
      <c r="K31" s="43">
        <v>3500</v>
      </c>
      <c r="L31" s="43">
        <v>4000</v>
      </c>
      <c r="M31" s="43">
        <v>3500</v>
      </c>
      <c r="N31" s="43">
        <v>4500</v>
      </c>
      <c r="O31" s="43">
        <v>3500</v>
      </c>
      <c r="P31" s="17"/>
      <c r="Q31" s="39">
        <f>SUM(D31:O31)</f>
        <v>54600</v>
      </c>
      <c r="R31" s="71" t="s">
        <v>3</v>
      </c>
      <c r="S31" s="19">
        <v>53218.520000000004</v>
      </c>
      <c r="U31" s="2">
        <f>+Q31-S31</f>
        <v>1381.4799999999959</v>
      </c>
      <c r="V31" s="42"/>
    </row>
    <row r="32" spans="1:25" s="33" customFormat="1" ht="27" customHeight="1" x14ac:dyDescent="0.4">
      <c r="A32" s="32"/>
      <c r="B32" s="32"/>
      <c r="C32" s="32"/>
      <c r="D32" s="40" t="str">
        <f t="shared" ref="D32:O32" si="18">IF((+D$7+D$8)=0," ",D33/(+D$7+D$8))</f>
        <v xml:space="preserve"> </v>
      </c>
      <c r="E32" s="40">
        <f t="shared" si="18"/>
        <v>1.3461538461538463</v>
      </c>
      <c r="F32" s="40">
        <f t="shared" si="18"/>
        <v>0.31531531531531531</v>
      </c>
      <c r="G32" s="40">
        <f t="shared" si="18"/>
        <v>0.22727272727272727</v>
      </c>
      <c r="H32" s="40">
        <f t="shared" si="18"/>
        <v>0.1440329218106996</v>
      </c>
      <c r="I32" s="40">
        <f t="shared" si="18"/>
        <v>4.9575070821529746E-2</v>
      </c>
      <c r="J32" s="40">
        <f t="shared" si="18"/>
        <v>4.0509259259259259E-2</v>
      </c>
      <c r="K32" s="40">
        <f t="shared" si="18"/>
        <v>6.5420560747663545E-2</v>
      </c>
      <c r="L32" s="40">
        <f t="shared" si="18"/>
        <v>8.2352941176470587E-2</v>
      </c>
      <c r="M32" s="40">
        <f t="shared" si="18"/>
        <v>7.9545454545454544E-2</v>
      </c>
      <c r="N32" s="40">
        <f t="shared" si="18"/>
        <v>0.15021459227467812</v>
      </c>
      <c r="O32" s="40">
        <f t="shared" si="18"/>
        <v>1.2068965517241379</v>
      </c>
      <c r="P32" s="32"/>
      <c r="Q32" s="40">
        <f>IF((+Q$7+Q$8)=0," ",Q33/(+Q$7+Q$8))</f>
        <v>0.11152416356877323</v>
      </c>
      <c r="R32" s="71" t="s">
        <v>3</v>
      </c>
      <c r="S32" s="36">
        <v>0.24090948701943496</v>
      </c>
      <c r="T32" s="32"/>
      <c r="U32" s="37"/>
      <c r="V32" s="42"/>
    </row>
    <row r="33" spans="1:25" s="15" customFormat="1" ht="35.1" customHeight="1" x14ac:dyDescent="0.45">
      <c r="A33" s="16" t="s">
        <v>40</v>
      </c>
      <c r="B33" s="82"/>
      <c r="C33" s="82"/>
      <c r="D33" s="101">
        <v>3500</v>
      </c>
      <c r="E33" s="101">
        <f>D33</f>
        <v>3500</v>
      </c>
      <c r="F33" s="101">
        <f t="shared" ref="F33:O33" si="19">E33</f>
        <v>3500</v>
      </c>
      <c r="G33" s="101">
        <f t="shared" si="19"/>
        <v>3500</v>
      </c>
      <c r="H33" s="101">
        <f t="shared" si="19"/>
        <v>3500</v>
      </c>
      <c r="I33" s="101">
        <f t="shared" si="19"/>
        <v>3500</v>
      </c>
      <c r="J33" s="101">
        <f t="shared" si="19"/>
        <v>3500</v>
      </c>
      <c r="K33" s="101">
        <f t="shared" si="19"/>
        <v>3500</v>
      </c>
      <c r="L33" s="101">
        <f t="shared" si="19"/>
        <v>3500</v>
      </c>
      <c r="M33" s="101">
        <f t="shared" si="19"/>
        <v>3500</v>
      </c>
      <c r="N33" s="101">
        <f>M33</f>
        <v>3500</v>
      </c>
      <c r="O33" s="101">
        <f t="shared" si="19"/>
        <v>3500</v>
      </c>
      <c r="P33" s="5"/>
      <c r="Q33" s="83">
        <f>SUM(D33:O33)</f>
        <v>42000</v>
      </c>
      <c r="R33" s="71" t="s">
        <v>3</v>
      </c>
      <c r="S33" s="111">
        <v>37680</v>
      </c>
      <c r="U33" s="2">
        <f>+Q33-S33</f>
        <v>4320</v>
      </c>
      <c r="V33" s="42"/>
      <c r="Y33" s="120">
        <f>SUM(D33:O33)</f>
        <v>42000</v>
      </c>
    </row>
    <row r="34" spans="1:25" s="33" customFormat="1" ht="27" customHeight="1" x14ac:dyDescent="0.4">
      <c r="A34" s="32"/>
      <c r="B34" s="32"/>
      <c r="C34" s="32"/>
      <c r="D34" s="40" t="str">
        <f t="shared" ref="D34:O34" si="20">IF((+D$7+D$8)=0," ",D35/(+D$7+D$8))</f>
        <v xml:space="preserve"> </v>
      </c>
      <c r="E34" s="40">
        <f t="shared" si="20"/>
        <v>0.19230769230769232</v>
      </c>
      <c r="F34" s="40">
        <f t="shared" si="20"/>
        <v>4.5045045045045043E-2</v>
      </c>
      <c r="G34" s="40">
        <f t="shared" si="20"/>
        <v>3.2467532467532464E-2</v>
      </c>
      <c r="H34" s="40">
        <f t="shared" si="20"/>
        <v>4.1152263374485597E-2</v>
      </c>
      <c r="I34" s="40">
        <f t="shared" si="20"/>
        <v>2.1246458923512748E-2</v>
      </c>
      <c r="J34" s="40">
        <f t="shared" si="20"/>
        <v>2.3148148148148147E-2</v>
      </c>
      <c r="K34" s="40">
        <f t="shared" si="20"/>
        <v>2.8037383177570093E-2</v>
      </c>
      <c r="L34" s="40">
        <f t="shared" si="20"/>
        <v>4.7058823529411761E-3</v>
      </c>
      <c r="M34" s="40">
        <f t="shared" si="20"/>
        <v>4.5454545454545452E-3</v>
      </c>
      <c r="N34" s="40">
        <f t="shared" si="20"/>
        <v>1.2875536480686695E-2</v>
      </c>
      <c r="O34" s="40">
        <f t="shared" si="20"/>
        <v>0.10344827586206896</v>
      </c>
      <c r="P34" s="32"/>
      <c r="Q34" s="40">
        <f>IF((+Q$7+Q$8)=0," ",Q35/(+Q$7+Q$8))</f>
        <v>2.3898035050451408E-2</v>
      </c>
      <c r="R34" s="71" t="s">
        <v>3</v>
      </c>
      <c r="S34" s="36">
        <v>0.11300720062344921</v>
      </c>
      <c r="T34" s="32"/>
      <c r="U34" s="37"/>
      <c r="V34" s="42"/>
    </row>
    <row r="35" spans="1:25" s="15" customFormat="1" ht="35.1" customHeight="1" x14ac:dyDescent="0.45">
      <c r="A35" s="16" t="s">
        <v>41</v>
      </c>
      <c r="B35" s="16"/>
      <c r="C35" s="16"/>
      <c r="D35" s="43">
        <v>500</v>
      </c>
      <c r="E35" s="43">
        <f>D35</f>
        <v>500</v>
      </c>
      <c r="F35" s="43">
        <f>E35</f>
        <v>500</v>
      </c>
      <c r="G35" s="43">
        <v>500</v>
      </c>
      <c r="H35" s="43">
        <v>1000</v>
      </c>
      <c r="I35" s="43">
        <v>1500</v>
      </c>
      <c r="J35" s="43">
        <v>2000</v>
      </c>
      <c r="K35" s="43">
        <v>1500</v>
      </c>
      <c r="L35" s="43">
        <v>200</v>
      </c>
      <c r="M35" s="43">
        <v>200</v>
      </c>
      <c r="N35" s="43">
        <v>300</v>
      </c>
      <c r="O35" s="43">
        <v>300</v>
      </c>
      <c r="P35" s="17"/>
      <c r="Q35" s="39">
        <f t="shared" si="10"/>
        <v>9000</v>
      </c>
      <c r="R35" s="71" t="s">
        <v>3</v>
      </c>
      <c r="S35" s="19">
        <v>17675.150000000001</v>
      </c>
      <c r="U35" s="2">
        <f>+Q35-S35</f>
        <v>-8675.1500000000015</v>
      </c>
      <c r="V35" s="42"/>
    </row>
    <row r="36" spans="1:25" s="33" customFormat="1" ht="27" customHeight="1" x14ac:dyDescent="0.4">
      <c r="A36" s="32"/>
      <c r="B36" s="32"/>
      <c r="C36" s="32"/>
      <c r="D36" s="40" t="str">
        <f t="shared" ref="D36:J36" si="21">IF((+D$7+D$8)=0," ",D37/(+D$7+D$8))</f>
        <v xml:space="preserve"> </v>
      </c>
      <c r="E36" s="40">
        <f t="shared" si="21"/>
        <v>0.30769230769230771</v>
      </c>
      <c r="F36" s="40">
        <f t="shared" si="21"/>
        <v>0.13513513513513514</v>
      </c>
      <c r="G36" s="40">
        <f t="shared" si="21"/>
        <v>7.792207792207792E-2</v>
      </c>
      <c r="H36" s="40">
        <f t="shared" si="21"/>
        <v>6.584362139917696E-2</v>
      </c>
      <c r="I36" s="40">
        <f t="shared" si="21"/>
        <v>4.2492917847025496E-2</v>
      </c>
      <c r="J36" s="40">
        <f t="shared" si="21"/>
        <v>4.6296296296296294E-2</v>
      </c>
      <c r="K36" s="40">
        <f>IF((+K$7+K$8)=0," ",K37/(+K$7+K$8))</f>
        <v>2.8037383177570093E-2</v>
      </c>
      <c r="L36" s="40">
        <f>IF((+L$7+L$8)=0," ",L37/(+L$7+L$8))</f>
        <v>4.7058823529411761E-3</v>
      </c>
      <c r="M36" s="40">
        <f>IF((+M$7+M$8)=0," ",M37/(+M$7+M$8))</f>
        <v>4.5454545454545452E-3</v>
      </c>
      <c r="N36" s="40">
        <f>IF((+N$7+N$8)=0," ",N37/(+N$7+N$8))</f>
        <v>2.1459227467811159E-2</v>
      </c>
      <c r="O36" s="40">
        <f>IF((+O$7+O$8)=0," ",O37/(+O$7+O$8))</f>
        <v>0.10344827586206896</v>
      </c>
      <c r="P36" s="44"/>
      <c r="Q36" s="40">
        <f>IF((+Q$7+Q$8)=0," ",Q37/(+Q$7+Q$8))</f>
        <v>4.1423260754115773E-2</v>
      </c>
      <c r="R36" s="71" t="s">
        <v>3</v>
      </c>
      <c r="S36" s="36">
        <v>9.3964737832872111E-2</v>
      </c>
      <c r="T36" s="32"/>
      <c r="U36" s="37"/>
      <c r="V36" s="42"/>
    </row>
    <row r="37" spans="1:25" s="15" customFormat="1" ht="34.5" customHeight="1" x14ac:dyDescent="0.45">
      <c r="A37" s="16" t="s">
        <v>42</v>
      </c>
      <c r="B37" s="16"/>
      <c r="C37" s="16"/>
      <c r="D37" s="43">
        <v>800</v>
      </c>
      <c r="E37" s="43">
        <v>800</v>
      </c>
      <c r="F37" s="43">
        <v>1500</v>
      </c>
      <c r="G37" s="43">
        <v>1200</v>
      </c>
      <c r="H37" s="43">
        <v>1600</v>
      </c>
      <c r="I37" s="43">
        <v>3000</v>
      </c>
      <c r="J37" s="43">
        <v>4000</v>
      </c>
      <c r="K37" s="43">
        <v>1500</v>
      </c>
      <c r="L37" s="43">
        <v>200</v>
      </c>
      <c r="M37" s="43">
        <v>200</v>
      </c>
      <c r="N37" s="43">
        <v>500</v>
      </c>
      <c r="O37" s="43">
        <v>300</v>
      </c>
      <c r="P37" s="38"/>
      <c r="Q37" s="39">
        <f t="shared" si="10"/>
        <v>15600</v>
      </c>
      <c r="R37" s="71" t="s">
        <v>3</v>
      </c>
      <c r="S37" s="19">
        <v>14696.77</v>
      </c>
      <c r="U37" s="2">
        <f>+Q37-S37</f>
        <v>903.22999999999956</v>
      </c>
      <c r="V37" s="42"/>
    </row>
    <row r="38" spans="1:25" s="33" customFormat="1" ht="27" customHeight="1" x14ac:dyDescent="0.4">
      <c r="A38" s="32"/>
      <c r="B38" s="32"/>
      <c r="C38" s="32"/>
      <c r="D38" s="40" t="str">
        <f t="shared" ref="D38:P38" si="22">IF((+D$7+D$8)=0," ",D39/(+D$7+D$8))</f>
        <v xml:space="preserve"> </v>
      </c>
      <c r="E38" s="40">
        <f t="shared" si="22"/>
        <v>0</v>
      </c>
      <c r="F38" s="40">
        <f t="shared" si="22"/>
        <v>0</v>
      </c>
      <c r="G38" s="40">
        <f t="shared" si="22"/>
        <v>0</v>
      </c>
      <c r="H38" s="40">
        <f t="shared" si="22"/>
        <v>0</v>
      </c>
      <c r="I38" s="40">
        <f t="shared" si="22"/>
        <v>0</v>
      </c>
      <c r="J38" s="40">
        <f t="shared" si="22"/>
        <v>0</v>
      </c>
      <c r="K38" s="40">
        <f t="shared" si="22"/>
        <v>0</v>
      </c>
      <c r="L38" s="40">
        <f t="shared" si="22"/>
        <v>0</v>
      </c>
      <c r="M38" s="40">
        <f t="shared" si="22"/>
        <v>0</v>
      </c>
      <c r="N38" s="40">
        <f t="shared" si="22"/>
        <v>0</v>
      </c>
      <c r="O38" s="40">
        <f t="shared" si="22"/>
        <v>0</v>
      </c>
      <c r="P38" s="44" t="str">
        <f t="shared" si="22"/>
        <v xml:space="preserve"> </v>
      </c>
      <c r="Q38" s="40">
        <f>IF((+Q$7+Q$8)=0," ",Q39/(+Q$7+Q$8))</f>
        <v>0</v>
      </c>
      <c r="R38" s="71" t="s">
        <v>3</v>
      </c>
      <c r="S38" s="36">
        <v>0</v>
      </c>
      <c r="T38" s="32"/>
      <c r="U38" s="37"/>
      <c r="V38" s="42"/>
    </row>
    <row r="39" spans="1:25" s="37" customFormat="1" ht="33.75" customHeight="1" x14ac:dyDescent="0.4">
      <c r="A39" s="82" t="s">
        <v>50</v>
      </c>
      <c r="B39" s="82"/>
      <c r="C39" s="82"/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5"/>
      <c r="Q39" s="83">
        <f t="shared" si="10"/>
        <v>0</v>
      </c>
      <c r="R39" s="71" t="s">
        <v>3</v>
      </c>
      <c r="S39" s="111">
        <v>0</v>
      </c>
      <c r="T39" s="38"/>
      <c r="U39" s="2">
        <f>+Q39-S39</f>
        <v>0</v>
      </c>
      <c r="V39" s="42"/>
    </row>
    <row r="40" spans="1:25" s="33" customFormat="1" ht="27" customHeight="1" x14ac:dyDescent="0.4">
      <c r="A40" s="32"/>
      <c r="B40" s="32"/>
      <c r="C40" s="32"/>
      <c r="D40" s="40" t="str">
        <f t="shared" ref="D40:O40" si="23">IF((+D$7+D$8)=0," ",D41/(+D$7+D$8))</f>
        <v xml:space="preserve"> </v>
      </c>
      <c r="E40" s="40">
        <f t="shared" si="23"/>
        <v>5.7692307692307696E-2</v>
      </c>
      <c r="F40" s="40">
        <f t="shared" si="23"/>
        <v>1.3513513513513514E-2</v>
      </c>
      <c r="G40" s="40">
        <f t="shared" si="23"/>
        <v>1.2987012987012988E-2</v>
      </c>
      <c r="H40" s="40">
        <f t="shared" si="23"/>
        <v>6.1728395061728392E-3</v>
      </c>
      <c r="I40" s="40">
        <f t="shared" si="23"/>
        <v>2.124645892351275E-3</v>
      </c>
      <c r="J40" s="40">
        <f t="shared" si="23"/>
        <v>2.8935185185185184E-3</v>
      </c>
      <c r="K40" s="40">
        <f t="shared" si="23"/>
        <v>2.8037383177570091E-3</v>
      </c>
      <c r="L40" s="40">
        <f t="shared" si="23"/>
        <v>5.8823529411764705E-3</v>
      </c>
      <c r="M40" s="40">
        <f t="shared" si="23"/>
        <v>3.4090909090909089E-3</v>
      </c>
      <c r="N40" s="40">
        <f t="shared" si="23"/>
        <v>8.5836909871244635E-3</v>
      </c>
      <c r="O40" s="40">
        <f t="shared" si="23"/>
        <v>5.1724137931034482E-2</v>
      </c>
      <c r="P40" s="32"/>
      <c r="Q40" s="40">
        <f>IF((+Q$7+Q$8)=0," ",Q41/(+Q$7+Q$8))</f>
        <v>5.5762081784386614E-3</v>
      </c>
      <c r="R40" s="71" t="s">
        <v>3</v>
      </c>
      <c r="S40" s="36">
        <v>4.8830844137763649E-3</v>
      </c>
      <c r="T40" s="32"/>
      <c r="U40" s="37"/>
      <c r="V40" s="42"/>
    </row>
    <row r="41" spans="1:25" s="15" customFormat="1" ht="35.1" customHeight="1" x14ac:dyDescent="0.45">
      <c r="A41" s="16" t="s">
        <v>44</v>
      </c>
      <c r="B41" s="16"/>
      <c r="C41" s="16"/>
      <c r="D41" s="43">
        <v>150</v>
      </c>
      <c r="E41" s="43">
        <v>150</v>
      </c>
      <c r="F41" s="43">
        <v>150</v>
      </c>
      <c r="G41" s="43">
        <v>200</v>
      </c>
      <c r="H41" s="43">
        <v>150</v>
      </c>
      <c r="I41" s="43">
        <v>150</v>
      </c>
      <c r="J41" s="43">
        <v>250</v>
      </c>
      <c r="K41" s="43">
        <v>150</v>
      </c>
      <c r="L41" s="43">
        <v>250</v>
      </c>
      <c r="M41" s="43">
        <v>150</v>
      </c>
      <c r="N41" s="43">
        <v>200</v>
      </c>
      <c r="O41" s="43">
        <v>150</v>
      </c>
      <c r="P41" s="17"/>
      <c r="Q41" s="39">
        <f>SUM(D41:O41)</f>
        <v>2100</v>
      </c>
      <c r="R41" s="71" t="s">
        <v>3</v>
      </c>
      <c r="S41" s="19">
        <v>763.75</v>
      </c>
      <c r="U41" s="2">
        <f>+Q41-S41</f>
        <v>1336.25</v>
      </c>
      <c r="V41" s="42"/>
    </row>
    <row r="42" spans="1:25" s="33" customFormat="1" ht="27" customHeight="1" x14ac:dyDescent="0.4">
      <c r="B42" s="32"/>
      <c r="C42" s="32"/>
      <c r="D42" s="40" t="str">
        <f t="shared" ref="D42:O42" si="24">IF((+D$7+D$8)=0," ",D43/(+D$7+D$8))</f>
        <v xml:space="preserve"> </v>
      </c>
      <c r="E42" s="40">
        <f t="shared" si="24"/>
        <v>9.6153846153846159E-2</v>
      </c>
      <c r="F42" s="40">
        <f t="shared" si="24"/>
        <v>2.2522522522522521E-2</v>
      </c>
      <c r="G42" s="40">
        <f t="shared" si="24"/>
        <v>2.5974025974025976E-2</v>
      </c>
      <c r="H42" s="40">
        <f t="shared" si="24"/>
        <v>1.2345679012345678E-2</v>
      </c>
      <c r="I42" s="40">
        <f t="shared" si="24"/>
        <v>3.5410764872521247E-3</v>
      </c>
      <c r="J42" s="40">
        <f t="shared" si="24"/>
        <v>2.8935185185185184E-3</v>
      </c>
      <c r="K42" s="40">
        <f t="shared" si="24"/>
        <v>5.6074766355140183E-3</v>
      </c>
      <c r="L42" s="40">
        <f t="shared" si="24"/>
        <v>8.2352941176470594E-3</v>
      </c>
      <c r="M42" s="40">
        <f t="shared" si="24"/>
        <v>1.4772727272727272E-2</v>
      </c>
      <c r="N42" s="40">
        <f t="shared" si="24"/>
        <v>1.0729613733905579E-2</v>
      </c>
      <c r="O42" s="40">
        <f t="shared" si="24"/>
        <v>8.6206896551724144E-2</v>
      </c>
      <c r="P42" s="32"/>
      <c r="Q42" s="40">
        <f>IF((+Q$7+Q$8)=0," ",Q43/(+Q$7+Q$8))</f>
        <v>9.8247477429633558E-3</v>
      </c>
      <c r="R42" s="71" t="s">
        <v>3</v>
      </c>
      <c r="S42" s="36">
        <v>3.0977072743859954E-2</v>
      </c>
      <c r="T42" s="32"/>
      <c r="U42" s="37"/>
      <c r="V42" s="42"/>
    </row>
    <row r="43" spans="1:25" s="15" customFormat="1" ht="35.1" customHeight="1" x14ac:dyDescent="0.45">
      <c r="A43" s="126" t="s">
        <v>43</v>
      </c>
      <c r="B43" s="16"/>
      <c r="C43" s="16"/>
      <c r="D43" s="43">
        <v>200</v>
      </c>
      <c r="E43" s="43">
        <v>250</v>
      </c>
      <c r="F43" s="43">
        <v>250</v>
      </c>
      <c r="G43" s="43">
        <v>400</v>
      </c>
      <c r="H43" s="43">
        <v>300</v>
      </c>
      <c r="I43" s="43">
        <v>250</v>
      </c>
      <c r="J43" s="43">
        <v>250</v>
      </c>
      <c r="K43" s="43">
        <v>300</v>
      </c>
      <c r="L43" s="43">
        <v>350</v>
      </c>
      <c r="M43" s="43">
        <v>650</v>
      </c>
      <c r="N43" s="43">
        <v>250</v>
      </c>
      <c r="O43" s="43">
        <v>250</v>
      </c>
      <c r="P43" s="17"/>
      <c r="Q43" s="39">
        <f t="shared" si="10"/>
        <v>3700</v>
      </c>
      <c r="R43" s="71" t="s">
        <v>3</v>
      </c>
      <c r="S43" s="19">
        <v>4845.04</v>
      </c>
      <c r="U43" s="2">
        <f>+Q43-S43</f>
        <v>-1145.04</v>
      </c>
      <c r="V43" s="42"/>
    </row>
    <row r="44" spans="1:25" s="33" customFormat="1" ht="27" customHeight="1" x14ac:dyDescent="0.4">
      <c r="A44" s="32"/>
      <c r="B44" s="32"/>
      <c r="C44" s="32"/>
      <c r="D44" s="40" t="str">
        <f t="shared" ref="D44:O48" si="25">IF((+D$7+D$8)=0," ",D45/(+D$7+D$8))</f>
        <v xml:space="preserve"> </v>
      </c>
      <c r="E44" s="40">
        <f t="shared" si="25"/>
        <v>0.53846153846153844</v>
      </c>
      <c r="F44" s="40">
        <f t="shared" si="25"/>
        <v>3.6036036036036036E-2</v>
      </c>
      <c r="G44" s="40">
        <f t="shared" si="25"/>
        <v>6.4935064935064929E-2</v>
      </c>
      <c r="H44" s="40">
        <f t="shared" si="25"/>
        <v>0</v>
      </c>
      <c r="I44" s="40">
        <f t="shared" si="25"/>
        <v>8.4985835694050991E-4</v>
      </c>
      <c r="J44" s="40">
        <f t="shared" si="25"/>
        <v>0</v>
      </c>
      <c r="K44" s="40">
        <f t="shared" si="25"/>
        <v>0</v>
      </c>
      <c r="L44" s="40">
        <f t="shared" si="25"/>
        <v>9.4117647058823532E-4</v>
      </c>
      <c r="M44" s="40">
        <f t="shared" si="25"/>
        <v>2.2727272727272726E-3</v>
      </c>
      <c r="N44" s="40">
        <f t="shared" si="25"/>
        <v>4.2918454935622317E-2</v>
      </c>
      <c r="O44" s="40">
        <f t="shared" si="25"/>
        <v>0.34482758620689657</v>
      </c>
      <c r="P44" s="32"/>
      <c r="Q44" s="40">
        <f>IF((+Q$7+Q$8)=0," ",Q45/(+Q$7+Q$8))</f>
        <v>1.3542219861922463E-2</v>
      </c>
      <c r="R44" s="71" t="s">
        <v>3</v>
      </c>
      <c r="S44" s="36">
        <v>1.6100720113493429E-2</v>
      </c>
      <c r="T44" s="32"/>
      <c r="U44" s="37"/>
      <c r="V44" s="42"/>
    </row>
    <row r="45" spans="1:25" s="15" customFormat="1" ht="35.1" customHeight="1" x14ac:dyDescent="0.45">
      <c r="A45" s="16" t="s">
        <v>45</v>
      </c>
      <c r="B45" s="16"/>
      <c r="C45" s="16"/>
      <c r="D45" s="43">
        <v>100</v>
      </c>
      <c r="E45" s="43">
        <v>1400</v>
      </c>
      <c r="F45" s="43">
        <v>400</v>
      </c>
      <c r="G45" s="43">
        <v>1000</v>
      </c>
      <c r="H45" s="157">
        <f>'[1]Input Wrksht '!J23+'[1]Input Wrksht '!J29+'[1]Input Wrksht '!J19</f>
        <v>0</v>
      </c>
      <c r="I45" s="43">
        <v>60</v>
      </c>
      <c r="J45" s="157">
        <f>'[1]Input Wrksht '!L23+'[1]Input Wrksht '!L29+'[1]Input Wrksht '!L19</f>
        <v>0</v>
      </c>
      <c r="K45" s="157">
        <v>0</v>
      </c>
      <c r="L45" s="43">
        <v>40</v>
      </c>
      <c r="M45" s="43">
        <v>100</v>
      </c>
      <c r="N45" s="43">
        <v>1000</v>
      </c>
      <c r="O45" s="43">
        <v>1000</v>
      </c>
      <c r="P45" s="17"/>
      <c r="Q45" s="39">
        <f t="shared" si="10"/>
        <v>5100</v>
      </c>
      <c r="R45" s="71" t="s">
        <v>3</v>
      </c>
      <c r="S45" s="19">
        <v>2518.27</v>
      </c>
      <c r="U45" s="2">
        <f>+Q45-S45</f>
        <v>2581.73</v>
      </c>
      <c r="V45" s="42"/>
    </row>
    <row r="46" spans="1:25" s="33" customFormat="1" ht="27" customHeight="1" x14ac:dyDescent="0.4">
      <c r="A46" s="32"/>
      <c r="B46" s="32"/>
      <c r="C46" s="32"/>
      <c r="D46" s="40" t="str">
        <f t="shared" si="25"/>
        <v xml:space="preserve"> </v>
      </c>
      <c r="E46" s="40">
        <f>IF((+E$7+E$8)=0," ",E47/(+E$7+E$8))</f>
        <v>7.6923076923076927E-2</v>
      </c>
      <c r="F46" s="40">
        <f t="shared" si="25"/>
        <v>1.8018018018018018E-2</v>
      </c>
      <c r="G46" s="40">
        <f t="shared" si="25"/>
        <v>1.2987012987012988E-2</v>
      </c>
      <c r="H46" s="40">
        <f t="shared" si="25"/>
        <v>8.23045267489712E-3</v>
      </c>
      <c r="I46" s="40">
        <f t="shared" si="25"/>
        <v>2.8328611898016999E-3</v>
      </c>
      <c r="J46" s="40">
        <f t="shared" si="25"/>
        <v>2.3148148148148147E-3</v>
      </c>
      <c r="K46" s="40">
        <f t="shared" si="25"/>
        <v>3.7383177570093459E-3</v>
      </c>
      <c r="L46" s="40">
        <f t="shared" si="25"/>
        <v>4.7058823529411761E-3</v>
      </c>
      <c r="M46" s="40">
        <f t="shared" si="25"/>
        <v>4.5454545454545452E-3</v>
      </c>
      <c r="N46" s="40">
        <f t="shared" si="25"/>
        <v>8.5836909871244635E-3</v>
      </c>
      <c r="O46" s="40">
        <f t="shared" si="25"/>
        <v>6.8965517241379309E-2</v>
      </c>
      <c r="P46" s="32"/>
      <c r="Q46" s="40">
        <f>IF((+Q$7+Q$8)=0," ",Q47/(+Q$7+Q$8))</f>
        <v>6.3728093467870419E-3</v>
      </c>
      <c r="R46" s="71" t="s">
        <v>3</v>
      </c>
      <c r="S46" s="36">
        <v>1.3810097982005826E-2</v>
      </c>
      <c r="T46" s="32"/>
      <c r="U46" s="37"/>
      <c r="V46" s="42"/>
    </row>
    <row r="47" spans="1:25" s="33" customFormat="1" ht="27" customHeight="1" x14ac:dyDescent="0.4">
      <c r="A47" s="16" t="s">
        <v>46</v>
      </c>
      <c r="B47" s="32"/>
      <c r="C47" s="32"/>
      <c r="D47" s="43">
        <v>200</v>
      </c>
      <c r="E47" s="43">
        <f>D47</f>
        <v>200</v>
      </c>
      <c r="F47" s="43">
        <f t="shared" ref="F47:O47" si="26">E47</f>
        <v>200</v>
      </c>
      <c r="G47" s="43">
        <f t="shared" si="26"/>
        <v>200</v>
      </c>
      <c r="H47" s="43">
        <f t="shared" si="26"/>
        <v>200</v>
      </c>
      <c r="I47" s="43">
        <f t="shared" si="26"/>
        <v>200</v>
      </c>
      <c r="J47" s="43">
        <f t="shared" si="26"/>
        <v>200</v>
      </c>
      <c r="K47" s="43">
        <f t="shared" si="26"/>
        <v>200</v>
      </c>
      <c r="L47" s="43">
        <f t="shared" si="26"/>
        <v>200</v>
      </c>
      <c r="M47" s="43">
        <f t="shared" si="26"/>
        <v>200</v>
      </c>
      <c r="N47" s="43">
        <f t="shared" si="26"/>
        <v>200</v>
      </c>
      <c r="O47" s="43">
        <f t="shared" si="26"/>
        <v>200</v>
      </c>
      <c r="P47" s="17"/>
      <c r="Q47" s="39">
        <f t="shared" ref="Q47" si="27">SUM(D47:O47)</f>
        <v>2400</v>
      </c>
      <c r="R47" s="71"/>
      <c r="S47" s="19">
        <v>2160</v>
      </c>
      <c r="T47" s="32"/>
      <c r="U47" s="37"/>
      <c r="V47" s="42"/>
    </row>
    <row r="48" spans="1:25" s="33" customFormat="1" ht="27" customHeight="1" x14ac:dyDescent="0.4">
      <c r="A48" s="32"/>
      <c r="B48" s="32"/>
      <c r="C48" s="32"/>
      <c r="D48" s="40" t="str">
        <f>IF((+D$7+D$8)=0," ",D49/(+D$7+D$8))</f>
        <v xml:space="preserve"> </v>
      </c>
      <c r="E48" s="158">
        <f t="shared" ref="E48:F48" si="28">IF((+E$7+E$8)=0," ",E49/(+E$7+E$8))</f>
        <v>0</v>
      </c>
      <c r="F48" s="158">
        <f t="shared" si="28"/>
        <v>0</v>
      </c>
      <c r="G48" s="40">
        <f t="shared" si="25"/>
        <v>3.246753246753247E-3</v>
      </c>
      <c r="H48" s="40">
        <f t="shared" si="25"/>
        <v>2.05761316872428E-3</v>
      </c>
      <c r="I48" s="40">
        <f t="shared" si="25"/>
        <v>1.4164305949008499E-3</v>
      </c>
      <c r="J48" s="40">
        <f t="shared" si="25"/>
        <v>1.1574074074074073E-3</v>
      </c>
      <c r="K48" s="40">
        <f t="shared" si="25"/>
        <v>1.869158878504673E-3</v>
      </c>
      <c r="L48" s="40">
        <f t="shared" si="25"/>
        <v>1.176470588235294E-3</v>
      </c>
      <c r="M48" s="40">
        <f t="shared" si="25"/>
        <v>1.1363636363636363E-3</v>
      </c>
      <c r="N48" s="158">
        <f t="shared" si="25"/>
        <v>0</v>
      </c>
      <c r="O48" s="158">
        <f t="shared" si="25"/>
        <v>0</v>
      </c>
      <c r="P48" s="32"/>
      <c r="Q48" s="40">
        <f>IF((+Q$7+Q$8)=0," ",Q49/(+Q$7+Q$8))</f>
        <v>1.3276686139139671E-3</v>
      </c>
      <c r="R48" s="71" t="s">
        <v>3</v>
      </c>
      <c r="S48" s="36">
        <v>1.0980178737193152E-2</v>
      </c>
      <c r="T48" s="32"/>
      <c r="U48" s="37"/>
      <c r="V48" s="42"/>
    </row>
    <row r="49" spans="1:22" s="15" customFormat="1" ht="35.1" customHeight="1" x14ac:dyDescent="0.4">
      <c r="A49" s="16" t="s">
        <v>47</v>
      </c>
      <c r="B49" s="16"/>
      <c r="C49" s="16"/>
      <c r="D49" s="157">
        <v>0</v>
      </c>
      <c r="E49" s="157">
        <v>0</v>
      </c>
      <c r="F49" s="157">
        <v>0</v>
      </c>
      <c r="G49" s="43">
        <v>50</v>
      </c>
      <c r="H49" s="43">
        <f>G49</f>
        <v>50</v>
      </c>
      <c r="I49" s="43">
        <v>100</v>
      </c>
      <c r="J49" s="43">
        <v>100</v>
      </c>
      <c r="K49" s="43">
        <v>100</v>
      </c>
      <c r="L49" s="43">
        <f>H49</f>
        <v>50</v>
      </c>
      <c r="M49" s="43">
        <f>G49</f>
        <v>50</v>
      </c>
      <c r="N49" s="157">
        <v>0</v>
      </c>
      <c r="O49" s="157">
        <v>0</v>
      </c>
      <c r="P49" s="17"/>
      <c r="Q49" s="39">
        <f t="shared" si="10"/>
        <v>500</v>
      </c>
      <c r="R49" s="71" t="s">
        <v>3</v>
      </c>
      <c r="S49" s="19">
        <v>1717.3800000000033</v>
      </c>
      <c r="U49" s="2">
        <f>+Q49-S49</f>
        <v>-1217.3800000000033</v>
      </c>
      <c r="V49" s="42"/>
    </row>
    <row r="50" spans="1:22" s="33" customFormat="1" ht="27" customHeight="1" x14ac:dyDescent="0.4">
      <c r="A50" s="16"/>
      <c r="B50" s="16"/>
      <c r="C50" s="16"/>
      <c r="D50" s="15"/>
      <c r="E50" s="15"/>
      <c r="F50" s="15"/>
      <c r="G50" s="15"/>
      <c r="H50" s="15"/>
      <c r="I50" s="15"/>
      <c r="J50" s="15"/>
      <c r="K50" s="17"/>
      <c r="L50" s="17"/>
      <c r="M50" s="17"/>
      <c r="N50" s="17"/>
      <c r="O50" s="17"/>
      <c r="P50" s="17"/>
      <c r="Q50" s="35"/>
      <c r="R50" s="35"/>
      <c r="S50" s="35"/>
      <c r="T50" s="35"/>
      <c r="U50" s="35"/>
      <c r="V50" s="42"/>
    </row>
    <row r="51" spans="1:22" s="15" customFormat="1" ht="35.1" customHeight="1" thickBot="1" x14ac:dyDescent="0.45">
      <c r="A51" s="2"/>
      <c r="B51" s="21" t="s">
        <v>21</v>
      </c>
      <c r="C51" s="21"/>
      <c r="D51" s="102">
        <f>+D49+D47+D45+D43+D41+D39+D37+D35+D33+D31+D29+D27+D25+D23+D21+D19</f>
        <v>16350</v>
      </c>
      <c r="E51" s="102">
        <f t="shared" ref="E51:O51" si="29">+E49+E47+E45+E43+E41+E39+E37+E35+E33+E31+E29+E27+E25+E23+E21+E19</f>
        <v>18740</v>
      </c>
      <c r="F51" s="102">
        <f t="shared" si="29"/>
        <v>21800</v>
      </c>
      <c r="G51" s="102">
        <f t="shared" si="29"/>
        <v>23000</v>
      </c>
      <c r="H51" s="102">
        <f t="shared" si="29"/>
        <v>28770</v>
      </c>
      <c r="I51" s="102">
        <f t="shared" si="29"/>
        <v>56490</v>
      </c>
      <c r="J51" s="102">
        <f t="shared" si="29"/>
        <v>66680</v>
      </c>
      <c r="K51" s="102">
        <f t="shared" si="29"/>
        <v>40940</v>
      </c>
      <c r="L51" s="102">
        <f t="shared" si="29"/>
        <v>35270</v>
      </c>
      <c r="M51" s="102">
        <f t="shared" si="29"/>
        <v>35550</v>
      </c>
      <c r="N51" s="102">
        <f t="shared" si="29"/>
        <v>27710</v>
      </c>
      <c r="O51" s="102">
        <f t="shared" si="29"/>
        <v>18000</v>
      </c>
      <c r="P51" s="102" t="s">
        <v>3</v>
      </c>
      <c r="Q51" s="104">
        <f>+Q49+Q47+Q45+Q43+Q41+Q39+Q37+Q35+Q33+Q31+Q29+Q27+Q25+Q23+Q21+Q19</f>
        <v>389300</v>
      </c>
      <c r="R51" s="71" t="s">
        <v>3</v>
      </c>
      <c r="S51" s="50">
        <f>+S49+S47+S45+S41+S43+S39+S37+S35+S33+S31+S29+S27+S25+S23+S21+S19-2</f>
        <v>377794.63</v>
      </c>
      <c r="T51" s="32"/>
      <c r="U51" s="37"/>
      <c r="V51" s="42"/>
    </row>
    <row r="52" spans="1:22" s="15" customFormat="1" ht="25.2" thickTop="1" x14ac:dyDescent="0.4">
      <c r="A52" s="20"/>
      <c r="B52" s="20"/>
      <c r="C52" s="20"/>
      <c r="D52" s="46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103">
        <f>SUM($D$51:J51)</f>
        <v>231830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23"/>
      <c r="Q52" s="20"/>
      <c r="R52" s="71" t="s">
        <v>3</v>
      </c>
      <c r="S52" s="20"/>
      <c r="T52" s="32"/>
      <c r="U52" s="37"/>
      <c r="V52" s="42"/>
    </row>
    <row r="53" spans="1:22" s="2" customFormat="1" ht="50.1" customHeight="1" thickBot="1" x14ac:dyDescent="0.45">
      <c r="A53" s="84"/>
      <c r="B53" s="85" t="s">
        <v>22</v>
      </c>
      <c r="C53" s="86"/>
      <c r="D53" s="48">
        <f t="shared" ref="D53:O53" si="30">+D13-D51</f>
        <v>-16350</v>
      </c>
      <c r="E53" s="48">
        <f t="shared" si="30"/>
        <v>-16140</v>
      </c>
      <c r="F53" s="49">
        <f t="shared" si="30"/>
        <v>-10700</v>
      </c>
      <c r="G53" s="49">
        <f t="shared" si="30"/>
        <v>-6900</v>
      </c>
      <c r="H53" s="49">
        <f t="shared" si="30"/>
        <v>-1970</v>
      </c>
      <c r="I53" s="49">
        <f t="shared" si="30"/>
        <v>17110</v>
      </c>
      <c r="J53" s="49">
        <f t="shared" si="30"/>
        <v>22220</v>
      </c>
      <c r="K53" s="49">
        <f t="shared" si="30"/>
        <v>14560</v>
      </c>
      <c r="L53" s="49">
        <f t="shared" si="30"/>
        <v>8230</v>
      </c>
      <c r="M53" s="49">
        <f t="shared" si="30"/>
        <v>9450</v>
      </c>
      <c r="N53" s="49">
        <f t="shared" si="30"/>
        <v>-4410</v>
      </c>
      <c r="O53" s="49">
        <f t="shared" si="30"/>
        <v>-15100</v>
      </c>
      <c r="P53" s="22"/>
      <c r="Q53" s="65">
        <f>+Q13-Q51</f>
        <v>0</v>
      </c>
      <c r="R53" s="71" t="s">
        <v>3</v>
      </c>
      <c r="S53" s="166">
        <f>+S13-S51</f>
        <v>-45164.630000000005</v>
      </c>
      <c r="T53" s="32"/>
      <c r="U53" s="37"/>
      <c r="V53" s="42"/>
    </row>
    <row r="54" spans="1:22" ht="25.2" thickTop="1" x14ac:dyDescent="0.4">
      <c r="A54" s="3"/>
      <c r="B54" s="3"/>
      <c r="C54" s="3"/>
      <c r="D54" s="51"/>
      <c r="E54" s="51"/>
      <c r="F54" s="52"/>
      <c r="G54" s="51"/>
      <c r="H54" s="51"/>
      <c r="I54" s="51"/>
      <c r="J54" s="51"/>
      <c r="K54" s="51"/>
      <c r="L54" s="51"/>
      <c r="M54" s="52"/>
      <c r="S54" s="24"/>
      <c r="T54" s="32"/>
      <c r="U54" s="37"/>
      <c r="V54" s="42"/>
    </row>
    <row r="55" spans="1:22" s="2" customFormat="1" ht="49.5" customHeight="1" thickBot="1" x14ac:dyDescent="0.55000000000000004">
      <c r="A55" s="87"/>
      <c r="B55" s="88" t="s">
        <v>23</v>
      </c>
      <c r="C55" s="89"/>
      <c r="D55" s="52"/>
      <c r="E55" s="54">
        <f>+D53+E53</f>
        <v>-32490</v>
      </c>
      <c r="F55" s="54">
        <f>+E55+F53</f>
        <v>-43190</v>
      </c>
      <c r="G55" s="54">
        <f t="shared" ref="G55:N55" si="31">+F55+G53</f>
        <v>-50090</v>
      </c>
      <c r="H55" s="54">
        <f t="shared" si="31"/>
        <v>-52060</v>
      </c>
      <c r="I55" s="54">
        <f t="shared" si="31"/>
        <v>-34950</v>
      </c>
      <c r="J55" s="54">
        <f t="shared" si="31"/>
        <v>-12730</v>
      </c>
      <c r="K55" s="54">
        <f t="shared" si="31"/>
        <v>1830</v>
      </c>
      <c r="L55" s="54">
        <f t="shared" si="31"/>
        <v>10060</v>
      </c>
      <c r="M55" s="54">
        <f t="shared" si="31"/>
        <v>19510</v>
      </c>
      <c r="N55" s="54">
        <f t="shared" si="31"/>
        <v>15100</v>
      </c>
      <c r="O55" s="65">
        <f>+N55+O53</f>
        <v>0</v>
      </c>
      <c r="P55" s="52"/>
      <c r="Q55" s="55"/>
      <c r="R55" s="55"/>
      <c r="S55" s="55"/>
      <c r="T55" s="55"/>
      <c r="U55" s="37"/>
      <c r="V55" s="42"/>
    </row>
    <row r="56" spans="1:22" s="2" customFormat="1" ht="49.5" customHeight="1" thickTop="1" x14ac:dyDescent="0.4">
      <c r="A56" s="52"/>
      <c r="B56" s="52"/>
      <c r="C56" s="52"/>
      <c r="D56" s="52"/>
      <c r="E56" s="54"/>
      <c r="F56" s="54"/>
      <c r="G56" s="54"/>
      <c r="H56" s="54"/>
      <c r="I56" s="54"/>
      <c r="J56" s="54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37"/>
      <c r="V56" s="42"/>
    </row>
    <row r="57" spans="1:22" ht="24.75" customHeight="1" x14ac:dyDescent="0.4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4"/>
      <c r="L57" s="54"/>
      <c r="M57" s="54"/>
      <c r="N57" s="53"/>
      <c r="O57" s="53"/>
      <c r="P57" s="53"/>
      <c r="Q57" s="53"/>
      <c r="R57" s="35"/>
      <c r="S57" s="53"/>
      <c r="T57" s="53"/>
      <c r="V57" s="42"/>
    </row>
    <row r="58" spans="1:22" ht="27" customHeight="1" x14ac:dyDescent="0.4">
      <c r="A58" s="53"/>
      <c r="E58" s="54"/>
      <c r="F58" s="54"/>
      <c r="G58" s="54"/>
      <c r="H58" s="54"/>
      <c r="I58" s="54"/>
      <c r="J58" s="54"/>
      <c r="K58" s="54"/>
      <c r="L58" s="54"/>
      <c r="M58" s="54"/>
      <c r="N58" s="53"/>
      <c r="O58" s="53"/>
      <c r="P58" s="53"/>
      <c r="Q58" s="53"/>
      <c r="R58" s="35"/>
    </row>
    <row r="59" spans="1:22" ht="27" customHeight="1" x14ac:dyDescent="0.4">
      <c r="A59" s="53"/>
      <c r="E59" s="54"/>
      <c r="F59" s="54"/>
      <c r="G59" s="54"/>
      <c r="H59" s="54"/>
      <c r="I59" s="54"/>
      <c r="J59" s="54"/>
      <c r="K59" s="54"/>
      <c r="L59" s="54"/>
      <c r="M59" s="54"/>
      <c r="N59" s="53"/>
      <c r="O59" s="53"/>
      <c r="P59" s="5"/>
      <c r="Q59" s="53"/>
      <c r="R59" s="35"/>
    </row>
    <row r="60" spans="1:22" x14ac:dyDescent="0.4">
      <c r="A60" s="53"/>
      <c r="G60" s="54"/>
      <c r="H60" s="54"/>
      <c r="I60" s="54"/>
      <c r="J60" s="54"/>
      <c r="K60" s="54"/>
      <c r="L60" s="54"/>
      <c r="M60" s="54"/>
      <c r="N60" s="53"/>
      <c r="O60" s="53"/>
      <c r="P60" s="5"/>
      <c r="Q60" s="53"/>
      <c r="R60" s="35"/>
    </row>
    <row r="61" spans="1:22" x14ac:dyDescent="0.4">
      <c r="A61" s="53"/>
      <c r="B61" s="53"/>
      <c r="C61" s="53"/>
      <c r="D61" s="52"/>
      <c r="E61" s="52"/>
      <c r="F61" s="52"/>
      <c r="G61" s="54"/>
      <c r="H61" s="54"/>
      <c r="I61" s="54"/>
      <c r="J61" s="54"/>
      <c r="K61" s="54"/>
      <c r="L61" s="54"/>
      <c r="M61" s="54"/>
      <c r="N61" s="53"/>
      <c r="O61" s="53"/>
      <c r="P61" s="5"/>
      <c r="Q61" s="53"/>
      <c r="R61" s="35"/>
    </row>
    <row r="62" spans="1:22" x14ac:dyDescent="0.4">
      <c r="A62" s="53"/>
      <c r="B62" s="53"/>
      <c r="C62" s="53"/>
      <c r="D62" s="52"/>
      <c r="E62" s="52"/>
      <c r="F62" s="52"/>
      <c r="G62" s="54"/>
      <c r="H62" s="54"/>
      <c r="I62" s="54"/>
      <c r="J62" s="54"/>
      <c r="K62" s="54"/>
      <c r="L62" s="54"/>
      <c r="M62" s="54"/>
      <c r="N62" s="53"/>
      <c r="O62" s="53"/>
      <c r="P62" s="5"/>
      <c r="Q62" s="53"/>
      <c r="R62" s="35"/>
    </row>
    <row r="63" spans="1:22" x14ac:dyDescent="0.4">
      <c r="A63" s="53"/>
      <c r="B63" s="53"/>
      <c r="C63" s="53"/>
      <c r="D63" s="52"/>
      <c r="E63" s="52"/>
      <c r="F63" s="52"/>
      <c r="G63" s="54"/>
      <c r="H63" s="54"/>
      <c r="I63" s="54"/>
      <c r="J63" s="54"/>
      <c r="K63" s="54"/>
      <c r="L63" s="54"/>
      <c r="M63" s="54"/>
      <c r="N63" s="53"/>
      <c r="O63" s="53"/>
      <c r="P63" s="5"/>
      <c r="Q63" s="53"/>
      <c r="R63" s="35"/>
    </row>
    <row r="64" spans="1:22" x14ac:dyDescent="0.4">
      <c r="A64" s="53"/>
      <c r="B64" s="53"/>
      <c r="C64" s="53"/>
      <c r="D64" s="52"/>
      <c r="E64" s="52"/>
      <c r="F64" s="52"/>
      <c r="G64" s="54"/>
      <c r="H64" s="54"/>
      <c r="I64" s="54"/>
      <c r="J64" s="54"/>
      <c r="K64" s="54"/>
      <c r="L64" s="54"/>
      <c r="M64" s="54"/>
      <c r="N64" s="53"/>
      <c r="O64" s="53"/>
      <c r="P64" s="5"/>
      <c r="Q64" s="53"/>
      <c r="R64" s="35"/>
    </row>
    <row r="65" spans="1:18" ht="28.5" customHeight="1" x14ac:dyDescent="0.4">
      <c r="A65" s="53"/>
      <c r="B65" s="53"/>
      <c r="C65" s="53"/>
      <c r="D65" s="52"/>
      <c r="E65" s="52"/>
      <c r="F65" s="52"/>
      <c r="G65" s="54"/>
      <c r="H65" s="54"/>
      <c r="I65" s="54"/>
      <c r="J65" s="54"/>
      <c r="K65" s="54"/>
      <c r="L65" s="54"/>
      <c r="M65" s="54"/>
      <c r="N65" s="53"/>
      <c r="O65" s="53"/>
      <c r="P65" s="53"/>
      <c r="Q65" s="53"/>
      <c r="R65" s="35"/>
    </row>
    <row r="66" spans="1:18" ht="28.5" customHeight="1" x14ac:dyDescent="0.4">
      <c r="A66" s="53"/>
      <c r="B66" s="53"/>
      <c r="C66" s="53"/>
      <c r="D66" s="52"/>
      <c r="E66" s="52"/>
      <c r="F66" s="52"/>
      <c r="G66" s="54"/>
      <c r="H66" s="54"/>
      <c r="I66" s="54"/>
      <c r="J66" s="54"/>
      <c r="K66" s="54"/>
      <c r="L66" s="54"/>
      <c r="M66" s="54"/>
      <c r="N66" s="53"/>
      <c r="O66" s="53"/>
      <c r="P66" s="53"/>
      <c r="Q66" s="53"/>
      <c r="R66" s="35"/>
    </row>
    <row r="67" spans="1:18" ht="28.5" customHeight="1" x14ac:dyDescent="0.4">
      <c r="A67" s="56"/>
      <c r="B67" s="56"/>
      <c r="C67" s="56"/>
      <c r="D67" s="52"/>
      <c r="E67" s="52"/>
      <c r="F67" s="52"/>
      <c r="G67" s="54"/>
      <c r="H67" s="54"/>
      <c r="I67" s="54"/>
      <c r="J67" s="54"/>
      <c r="K67" s="54"/>
      <c r="L67" s="54"/>
      <c r="M67" s="54"/>
      <c r="N67" s="53"/>
      <c r="O67" s="53"/>
      <c r="P67" s="53"/>
      <c r="Q67" s="53"/>
      <c r="R67" s="35"/>
    </row>
    <row r="68" spans="1:18" ht="21" customHeight="1" x14ac:dyDescent="0.4">
      <c r="A68" s="275" t="s">
        <v>3</v>
      </c>
      <c r="B68" s="275"/>
      <c r="C68" s="112"/>
      <c r="D68" s="52"/>
      <c r="E68" s="52"/>
      <c r="F68" s="52"/>
      <c r="G68" s="54"/>
      <c r="H68" s="54"/>
      <c r="I68" s="54"/>
      <c r="J68" s="54"/>
      <c r="K68" s="54"/>
      <c r="L68" s="54"/>
      <c r="M68" s="54"/>
      <c r="N68" s="53"/>
      <c r="O68" s="53"/>
      <c r="P68" s="53"/>
      <c r="Q68" s="53"/>
      <c r="R68" s="35"/>
    </row>
    <row r="69" spans="1:18" ht="21" customHeight="1" x14ac:dyDescent="0.4">
      <c r="A69" s="52"/>
      <c r="B69" s="52"/>
      <c r="C69" s="52"/>
      <c r="D69" s="52"/>
      <c r="E69" s="52"/>
      <c r="F69" s="52"/>
      <c r="G69" s="54"/>
      <c r="H69" s="54"/>
      <c r="I69" s="54"/>
      <c r="J69" s="54"/>
      <c r="K69" s="54"/>
      <c r="L69" s="54"/>
      <c r="M69" s="54"/>
      <c r="N69" s="52"/>
      <c r="O69" s="52"/>
      <c r="P69" s="52"/>
      <c r="Q69" s="52"/>
      <c r="R69" s="35"/>
    </row>
    <row r="70" spans="1:18" ht="21" customHeight="1" x14ac:dyDescent="0.4">
      <c r="A70" s="52"/>
      <c r="B70" s="52"/>
      <c r="C70" s="52"/>
      <c r="D70" s="52"/>
      <c r="E70" s="52"/>
      <c r="F70" s="52"/>
      <c r="G70" s="54"/>
      <c r="H70" s="54"/>
      <c r="I70" s="54"/>
      <c r="J70" s="54"/>
      <c r="K70" s="54"/>
      <c r="L70" s="54"/>
      <c r="M70" s="54"/>
      <c r="N70" s="52"/>
      <c r="O70" s="52"/>
      <c r="P70" s="52"/>
      <c r="Q70" s="52"/>
      <c r="R70" s="35"/>
    </row>
    <row r="71" spans="1:18" ht="27" customHeight="1" x14ac:dyDescent="0.4">
      <c r="A71" s="52"/>
      <c r="B71" s="52"/>
      <c r="C71" s="52"/>
      <c r="D71" s="52"/>
      <c r="E71" s="52"/>
      <c r="F71" s="52"/>
      <c r="G71" s="54"/>
      <c r="H71" s="54"/>
      <c r="I71" s="54"/>
      <c r="J71" s="54"/>
      <c r="K71" s="54"/>
      <c r="L71" s="54"/>
      <c r="M71" s="54"/>
      <c r="N71" s="52"/>
      <c r="O71" s="52"/>
      <c r="P71" s="52"/>
      <c r="Q71" s="52"/>
      <c r="R71" s="52"/>
    </row>
    <row r="72" spans="1:18" ht="21" customHeight="1" x14ac:dyDescent="0.4">
      <c r="A72" s="52"/>
      <c r="B72" s="52"/>
      <c r="C72" s="52"/>
      <c r="D72" s="52"/>
      <c r="E72" s="52"/>
      <c r="F72" s="52"/>
      <c r="G72" s="54"/>
      <c r="H72" s="54"/>
      <c r="I72" s="54"/>
      <c r="J72" s="54"/>
      <c r="K72" s="54"/>
      <c r="L72" s="54"/>
      <c r="M72" s="54"/>
      <c r="N72" s="52"/>
      <c r="O72" s="52"/>
      <c r="P72" s="52"/>
      <c r="Q72" s="52"/>
      <c r="R72" s="52"/>
    </row>
    <row r="73" spans="1:18" ht="21" customHeight="1" x14ac:dyDescent="0.4">
      <c r="A73" s="52"/>
      <c r="B73" s="52"/>
      <c r="C73" s="52"/>
      <c r="D73" s="52"/>
      <c r="E73" s="52"/>
      <c r="F73" s="52"/>
      <c r="G73" s="54"/>
      <c r="H73" s="54"/>
      <c r="I73" s="54"/>
      <c r="J73" s="54"/>
      <c r="K73" s="54"/>
      <c r="L73" s="54"/>
      <c r="M73" s="54"/>
      <c r="N73" s="52"/>
      <c r="O73" s="52"/>
      <c r="P73" s="52"/>
      <c r="Q73" s="52"/>
      <c r="R73" s="52"/>
    </row>
    <row r="74" spans="1:18" ht="21" customHeight="1" x14ac:dyDescent="0.4">
      <c r="A74" s="52"/>
      <c r="B74" s="52"/>
      <c r="C74" s="52"/>
      <c r="D74" s="52"/>
      <c r="E74" s="52"/>
      <c r="F74" s="52"/>
      <c r="G74" s="54"/>
      <c r="H74" s="54"/>
      <c r="I74" s="54"/>
      <c r="J74" s="54"/>
      <c r="K74" s="54"/>
      <c r="L74" s="54"/>
      <c r="M74" s="54"/>
      <c r="N74" s="52"/>
      <c r="O74" s="52"/>
      <c r="P74" s="52"/>
      <c r="Q74" s="52"/>
      <c r="R74" s="52"/>
    </row>
    <row r="75" spans="1:18" ht="21" customHeight="1" x14ac:dyDescent="0.4">
      <c r="A75" s="52"/>
      <c r="B75" s="52"/>
      <c r="C75" s="52"/>
      <c r="D75" s="52"/>
      <c r="E75" s="52"/>
      <c r="F75" s="52"/>
      <c r="G75" s="54"/>
      <c r="H75" s="54"/>
      <c r="I75" s="54"/>
      <c r="J75" s="54"/>
      <c r="K75" s="54"/>
      <c r="L75" s="54"/>
      <c r="M75" s="54"/>
      <c r="N75" s="52"/>
      <c r="O75" s="52"/>
      <c r="P75" s="52"/>
      <c r="Q75" s="52"/>
      <c r="R75" s="52"/>
    </row>
    <row r="76" spans="1:18" ht="21" customHeight="1" x14ac:dyDescent="0.4">
      <c r="D76" s="52"/>
      <c r="E76" s="52"/>
      <c r="F76" s="52"/>
      <c r="G76" s="54"/>
      <c r="H76" s="54"/>
      <c r="I76" s="54"/>
      <c r="J76" s="54"/>
      <c r="K76" s="54"/>
      <c r="L76" s="54"/>
      <c r="M76" s="54"/>
      <c r="N76" s="52"/>
      <c r="O76" s="52"/>
      <c r="P76" s="52"/>
      <c r="Q76" s="52"/>
      <c r="R76" s="52"/>
    </row>
    <row r="77" spans="1:18" ht="21" customHeight="1" x14ac:dyDescent="0.4">
      <c r="D77" s="52"/>
      <c r="E77" s="52"/>
      <c r="F77" s="52"/>
      <c r="G77" s="54"/>
      <c r="H77" s="54"/>
      <c r="I77" s="54"/>
      <c r="J77" s="54"/>
      <c r="K77" s="54"/>
      <c r="L77" s="54"/>
      <c r="M77" s="54"/>
      <c r="N77" s="52"/>
      <c r="O77" s="52"/>
      <c r="P77" s="52"/>
      <c r="Q77" s="52"/>
      <c r="R77" s="52"/>
    </row>
    <row r="78" spans="1:18" ht="21" customHeight="1" x14ac:dyDescent="0.4">
      <c r="G78" s="54"/>
      <c r="H78" s="54"/>
      <c r="I78" s="54"/>
      <c r="J78" s="54"/>
      <c r="K78" s="54"/>
      <c r="L78" s="54"/>
      <c r="M78" s="54"/>
    </row>
    <row r="79" spans="1:18" ht="15.75" customHeight="1" x14ac:dyDescent="0.4">
      <c r="G79" s="54"/>
      <c r="H79" s="54"/>
      <c r="I79" s="54"/>
      <c r="J79" s="54"/>
      <c r="K79" s="54"/>
      <c r="L79" s="54"/>
      <c r="M79" s="54"/>
    </row>
    <row r="80" spans="1:18" x14ac:dyDescent="0.4">
      <c r="G80" s="54"/>
      <c r="H80" s="54"/>
      <c r="I80" s="54"/>
      <c r="J80" s="54"/>
      <c r="K80" s="54"/>
      <c r="L80" s="54"/>
      <c r="M80" s="54"/>
    </row>
    <row r="81" spans="7:13" x14ac:dyDescent="0.4">
      <c r="G81" s="54"/>
      <c r="H81" s="54"/>
      <c r="I81" s="54"/>
      <c r="J81" s="54"/>
      <c r="K81" s="54"/>
      <c r="L81" s="54"/>
      <c r="M81" s="54"/>
    </row>
    <row r="82" spans="7:13" x14ac:dyDescent="0.4">
      <c r="G82" s="54"/>
      <c r="H82" s="54"/>
      <c r="I82" s="54"/>
      <c r="J82" s="54"/>
      <c r="K82" s="54"/>
      <c r="L82" s="54"/>
      <c r="M82" s="54"/>
    </row>
    <row r="83" spans="7:13" x14ac:dyDescent="0.4">
      <c r="G83" s="54"/>
      <c r="H83" s="54"/>
      <c r="I83" s="54"/>
      <c r="J83" s="54"/>
      <c r="K83" s="54"/>
      <c r="L83" s="54"/>
      <c r="M83" s="54"/>
    </row>
    <row r="84" spans="7:13" x14ac:dyDescent="0.4">
      <c r="G84" s="54"/>
      <c r="H84" s="54"/>
      <c r="I84" s="54"/>
      <c r="J84" s="54"/>
      <c r="K84" s="54"/>
      <c r="L84" s="54"/>
      <c r="M84" s="54"/>
    </row>
    <row r="85" spans="7:13" x14ac:dyDescent="0.4">
      <c r="G85" s="54"/>
      <c r="H85" s="54"/>
      <c r="I85" s="54"/>
      <c r="J85" s="54"/>
      <c r="K85" s="54"/>
      <c r="L85" s="54"/>
      <c r="M85" s="54"/>
    </row>
    <row r="86" spans="7:13" x14ac:dyDescent="0.4">
      <c r="G86" s="54"/>
      <c r="H86" s="54"/>
      <c r="I86" s="54"/>
      <c r="J86" s="54"/>
      <c r="K86" s="54"/>
      <c r="L86" s="54"/>
      <c r="M86" s="54"/>
    </row>
    <row r="87" spans="7:13" x14ac:dyDescent="0.4">
      <c r="G87" s="54"/>
      <c r="H87" s="54"/>
      <c r="I87" s="54"/>
      <c r="J87" s="54"/>
      <c r="K87" s="54"/>
      <c r="L87" s="54"/>
      <c r="M87" s="54"/>
    </row>
    <row r="88" spans="7:13" x14ac:dyDescent="0.4">
      <c r="G88" s="54"/>
      <c r="H88" s="54"/>
      <c r="I88" s="54"/>
      <c r="J88" s="54"/>
      <c r="K88" s="54"/>
      <c r="L88" s="54"/>
      <c r="M88" s="54"/>
    </row>
    <row r="89" spans="7:13" x14ac:dyDescent="0.4">
      <c r="G89" s="54"/>
      <c r="H89" s="54"/>
      <c r="I89" s="54"/>
      <c r="J89" s="54"/>
      <c r="K89" s="54"/>
      <c r="L89" s="54"/>
      <c r="M89" s="54"/>
    </row>
  </sheetData>
  <mergeCells count="7">
    <mergeCell ref="A68:B68"/>
    <mergeCell ref="D2:Q2"/>
    <mergeCell ref="Q4:Q5"/>
    <mergeCell ref="A2:B2"/>
    <mergeCell ref="D1:Q1"/>
    <mergeCell ref="D3:Q3"/>
    <mergeCell ref="A3:C3"/>
  </mergeCells>
  <printOptions horizontalCentered="1"/>
  <pageMargins left="0.25" right="0.25" top="0.75" bottom="0.25" header="0.25" footer="0.1"/>
  <pageSetup scale="33" orientation="landscape" horizontalDpi="300" verticalDpi="300" r:id="rId1"/>
  <headerFooter alignWithMargins="0">
    <oddFooter>&amp;R&amp;"Arial,Regular"&amp;10Date: &amp;D</oddFooter>
  </headerFooter>
  <rowBreaks count="1" manualBreakCount="1">
    <brk id="53" max="16" man="1"/>
  </rowBreaks>
  <colBreaks count="1" manualBreakCount="1">
    <brk id="9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8D060-14C0-4781-BAA0-FEA5518E17C7}">
  <sheetPr>
    <tabColor rgb="FFCCCCFF"/>
  </sheetPr>
  <dimension ref="A1:N108"/>
  <sheetViews>
    <sheetView workbookViewId="0">
      <pane xSplit="1" ySplit="7" topLeftCell="B8" activePane="bottomRight" state="frozen"/>
      <selection activeCell="F36" sqref="F36"/>
      <selection pane="topRight" activeCell="F36" sqref="F36"/>
      <selection pane="bottomLeft" activeCell="F36" sqref="F36"/>
      <selection pane="bottomRight" activeCell="F36" sqref="F36"/>
    </sheetView>
  </sheetViews>
  <sheetFormatPr defaultColWidth="8.81640625" defaultRowHeight="13.8" x14ac:dyDescent="0.25"/>
  <cols>
    <col min="1" max="1" width="24.453125" style="173" customWidth="1"/>
    <col min="2" max="4" width="9.453125" style="173" bestFit="1" customWidth="1"/>
    <col min="5" max="6" width="8.81640625" style="173" bestFit="1" customWidth="1"/>
    <col min="7" max="7" width="8.6328125" style="173" bestFit="1" customWidth="1"/>
    <col min="8" max="8" width="8.08984375" style="173" bestFit="1" customWidth="1"/>
    <col min="9" max="13" width="9.453125" style="173" bestFit="1" customWidth="1"/>
    <col min="14" max="14" width="11" style="194" bestFit="1" customWidth="1"/>
    <col min="15" max="16384" width="8.81640625" style="173"/>
  </cols>
  <sheetData>
    <row r="1" spans="1:14" ht="15.6" x14ac:dyDescent="0.3">
      <c r="A1" s="284" t="s">
        <v>150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5.6" x14ac:dyDescent="0.3">
      <c r="A2" s="284" t="s">
        <v>149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ht="17.399999999999999" x14ac:dyDescent="0.3">
      <c r="A3" s="285" t="s">
        <v>180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4" ht="17.399999999999999" x14ac:dyDescent="0.3">
      <c r="A4" s="285" t="s">
        <v>194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</row>
    <row r="5" spans="1:14" ht="17.399999999999999" x14ac:dyDescent="0.3">
      <c r="A5" s="285" t="s">
        <v>147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1:14" s="191" customFormat="1" x14ac:dyDescent="0.25">
      <c r="A6" s="190" t="s">
        <v>146</v>
      </c>
      <c r="B6" s="154" t="s">
        <v>179</v>
      </c>
      <c r="C6" s="154" t="s">
        <v>178</v>
      </c>
      <c r="D6" s="154" t="s">
        <v>177</v>
      </c>
      <c r="E6" s="154" t="s">
        <v>176</v>
      </c>
      <c r="F6" s="154" t="s">
        <v>175</v>
      </c>
      <c r="G6" s="154" t="s">
        <v>174</v>
      </c>
      <c r="H6" s="154" t="s">
        <v>173</v>
      </c>
      <c r="I6" s="154" t="s">
        <v>172</v>
      </c>
      <c r="J6" s="154" t="s">
        <v>193</v>
      </c>
      <c r="K6" s="190" t="s">
        <v>192</v>
      </c>
      <c r="L6" s="154" t="s">
        <v>191</v>
      </c>
      <c r="M6" s="154" t="s">
        <v>190</v>
      </c>
      <c r="N6" s="192" t="s">
        <v>138</v>
      </c>
    </row>
    <row r="7" spans="1:14" s="191" customFormat="1" x14ac:dyDescent="0.25">
      <c r="A7" s="190" t="s">
        <v>137</v>
      </c>
      <c r="B7" s="154" t="s">
        <v>136</v>
      </c>
      <c r="C7" s="154" t="s">
        <v>136</v>
      </c>
      <c r="D7" s="154" t="s">
        <v>136</v>
      </c>
      <c r="E7" s="154" t="s">
        <v>136</v>
      </c>
      <c r="F7" s="154" t="s">
        <v>136</v>
      </c>
      <c r="G7" s="154" t="s">
        <v>136</v>
      </c>
      <c r="H7" s="154" t="s">
        <v>136</v>
      </c>
      <c r="I7" s="154" t="s">
        <v>136</v>
      </c>
      <c r="J7" s="154" t="s">
        <v>136</v>
      </c>
      <c r="K7" s="190" t="s">
        <v>136</v>
      </c>
      <c r="L7" s="154" t="s">
        <v>136</v>
      </c>
      <c r="M7" s="154" t="s">
        <v>136</v>
      </c>
      <c r="N7" s="192" t="s">
        <v>136</v>
      </c>
    </row>
    <row r="8" spans="1:14" x14ac:dyDescent="0.2">
      <c r="A8" s="182" t="s">
        <v>135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93"/>
    </row>
    <row r="9" spans="1:14" x14ac:dyDescent="0.2">
      <c r="A9" s="181" t="s">
        <v>134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93"/>
    </row>
    <row r="10" spans="1:14" x14ac:dyDescent="0.2">
      <c r="A10" s="180" t="s">
        <v>133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93"/>
    </row>
    <row r="11" spans="1:14" x14ac:dyDescent="0.2">
      <c r="A11" s="178" t="s">
        <v>132</v>
      </c>
      <c r="B11" s="177">
        <v>0</v>
      </c>
      <c r="C11" s="177">
        <v>0</v>
      </c>
      <c r="D11" s="177">
        <v>0</v>
      </c>
      <c r="E11" s="177">
        <v>0</v>
      </c>
      <c r="F11" s="177">
        <v>2430</v>
      </c>
      <c r="G11" s="177">
        <v>0</v>
      </c>
      <c r="H11" s="177">
        <v>0</v>
      </c>
      <c r="I11" s="177">
        <v>142.5</v>
      </c>
      <c r="J11" s="177">
        <v>1626.5</v>
      </c>
      <c r="K11" s="177">
        <v>1748</v>
      </c>
      <c r="L11" s="177">
        <v>0</v>
      </c>
      <c r="M11" s="177">
        <v>0</v>
      </c>
      <c r="N11" s="195">
        <f>SUM(B11:M11)</f>
        <v>5947</v>
      </c>
    </row>
    <row r="12" spans="1:14" x14ac:dyDescent="0.2">
      <c r="A12" s="178" t="s">
        <v>131</v>
      </c>
      <c r="B12" s="177">
        <v>0</v>
      </c>
      <c r="C12" s="177">
        <v>0</v>
      </c>
      <c r="D12" s="177">
        <v>0</v>
      </c>
      <c r="E12" s="177">
        <v>0</v>
      </c>
      <c r="F12" s="177">
        <v>964.5</v>
      </c>
      <c r="G12" s="177">
        <v>17237.5</v>
      </c>
      <c r="H12" s="177">
        <v>25012.5</v>
      </c>
      <c r="I12" s="177">
        <v>0</v>
      </c>
      <c r="J12" s="177">
        <v>1209</v>
      </c>
      <c r="K12" s="177">
        <v>2396.02</v>
      </c>
      <c r="L12" s="177">
        <v>380</v>
      </c>
      <c r="M12" s="177">
        <v>280</v>
      </c>
      <c r="N12" s="195">
        <f>SUM(B12:M12)</f>
        <v>47479.519999999997</v>
      </c>
    </row>
    <row r="13" spans="1:14" x14ac:dyDescent="0.2">
      <c r="A13" s="176" t="s">
        <v>130</v>
      </c>
      <c r="B13" s="174">
        <f t="shared" ref="B13:N13" si="0">SUM(B11:B12)</f>
        <v>0</v>
      </c>
      <c r="C13" s="174">
        <f t="shared" si="0"/>
        <v>0</v>
      </c>
      <c r="D13" s="174">
        <f t="shared" si="0"/>
        <v>0</v>
      </c>
      <c r="E13" s="174">
        <f t="shared" si="0"/>
        <v>0</v>
      </c>
      <c r="F13" s="174">
        <f t="shared" si="0"/>
        <v>3394.5</v>
      </c>
      <c r="G13" s="174">
        <f t="shared" si="0"/>
        <v>17237.5</v>
      </c>
      <c r="H13" s="174">
        <f t="shared" si="0"/>
        <v>25012.5</v>
      </c>
      <c r="I13" s="174">
        <f t="shared" si="0"/>
        <v>142.5</v>
      </c>
      <c r="J13" s="174">
        <f t="shared" si="0"/>
        <v>2835.5</v>
      </c>
      <c r="K13" s="174">
        <f t="shared" si="0"/>
        <v>4144.0200000000004</v>
      </c>
      <c r="L13" s="174">
        <f t="shared" si="0"/>
        <v>380</v>
      </c>
      <c r="M13" s="174">
        <f t="shared" si="0"/>
        <v>280</v>
      </c>
      <c r="N13" s="196">
        <f t="shared" si="0"/>
        <v>53426.52</v>
      </c>
    </row>
    <row r="14" spans="1:14" x14ac:dyDescent="0.2">
      <c r="A14" s="189" t="s">
        <v>129</v>
      </c>
      <c r="B14" s="177">
        <v>0</v>
      </c>
      <c r="C14" s="177">
        <v>0</v>
      </c>
      <c r="D14" s="177">
        <v>135</v>
      </c>
      <c r="E14" s="177">
        <v>8781.15</v>
      </c>
      <c r="F14" s="177">
        <v>5852.25</v>
      </c>
      <c r="G14" s="177">
        <v>24304.07</v>
      </c>
      <c r="H14" s="177">
        <v>37495.1</v>
      </c>
      <c r="I14" s="177">
        <v>462.75</v>
      </c>
      <c r="J14" s="177">
        <v>18291.150000000001</v>
      </c>
      <c r="K14" s="177">
        <v>10217.5</v>
      </c>
      <c r="L14" s="177">
        <v>2430.6999999999998</v>
      </c>
      <c r="M14" s="177">
        <v>482.2</v>
      </c>
      <c r="N14" s="195">
        <f>SUM(B14:M14)</f>
        <v>108451.87</v>
      </c>
    </row>
    <row r="15" spans="1:14" x14ac:dyDescent="0.2">
      <c r="A15" s="189" t="s">
        <v>171</v>
      </c>
      <c r="B15" s="177">
        <v>0</v>
      </c>
      <c r="C15" s="177">
        <v>0</v>
      </c>
      <c r="D15" s="177">
        <v>8530.92</v>
      </c>
      <c r="E15" s="177">
        <v>10910.92</v>
      </c>
      <c r="F15" s="177">
        <v>11369.81</v>
      </c>
      <c r="G15" s="177">
        <v>9769.84</v>
      </c>
      <c r="H15" s="177">
        <v>26563.32</v>
      </c>
      <c r="I15" s="177">
        <v>10655.19</v>
      </c>
      <c r="J15" s="177">
        <v>0</v>
      </c>
      <c r="K15" s="177">
        <v>0</v>
      </c>
      <c r="L15" s="177">
        <v>0</v>
      </c>
      <c r="M15" s="177">
        <v>0</v>
      </c>
      <c r="N15" s="195">
        <f>SUM(B15:M15)</f>
        <v>77800</v>
      </c>
    </row>
    <row r="16" spans="1:14" x14ac:dyDescent="0.2">
      <c r="A16" s="189" t="s">
        <v>127</v>
      </c>
      <c r="B16" s="177">
        <v>0</v>
      </c>
      <c r="C16" s="177">
        <v>0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49.21</v>
      </c>
      <c r="K16" s="177">
        <v>0</v>
      </c>
      <c r="L16" s="177">
        <v>0</v>
      </c>
      <c r="M16" s="177">
        <v>0</v>
      </c>
      <c r="N16" s="195">
        <f>SUM(B16:M16)</f>
        <v>49.21</v>
      </c>
    </row>
    <row r="17" spans="1:14" ht="10.199999999999999" x14ac:dyDescent="0.2">
      <c r="A17" s="180" t="s">
        <v>126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</row>
    <row r="18" spans="1:14" x14ac:dyDescent="0.2">
      <c r="A18" s="178" t="s">
        <v>126</v>
      </c>
      <c r="B18" s="177">
        <v>0</v>
      </c>
      <c r="C18" s="177">
        <v>0</v>
      </c>
      <c r="D18" s="177">
        <v>0</v>
      </c>
      <c r="E18" s="177">
        <v>85</v>
      </c>
      <c r="F18" s="177">
        <v>0</v>
      </c>
      <c r="G18" s="177">
        <v>1798.8</v>
      </c>
      <c r="H18" s="177">
        <v>1906.8</v>
      </c>
      <c r="I18" s="177">
        <v>0</v>
      </c>
      <c r="J18" s="177">
        <v>520</v>
      </c>
      <c r="K18" s="177">
        <v>125</v>
      </c>
      <c r="L18" s="177">
        <v>0</v>
      </c>
      <c r="M18" s="177">
        <v>0</v>
      </c>
      <c r="N18" s="195">
        <f>SUM(B18:M18)</f>
        <v>4435.6000000000004</v>
      </c>
    </row>
    <row r="19" spans="1:14" x14ac:dyDescent="0.2">
      <c r="A19" s="178" t="s">
        <v>170</v>
      </c>
      <c r="B19" s="177">
        <v>0</v>
      </c>
      <c r="C19" s="177">
        <v>0</v>
      </c>
      <c r="D19" s="177">
        <v>0</v>
      </c>
      <c r="E19" s="177">
        <v>0</v>
      </c>
      <c r="F19" s="177">
        <v>300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95">
        <f>SUM(B19:M19)</f>
        <v>300</v>
      </c>
    </row>
    <row r="20" spans="1:14" x14ac:dyDescent="0.2">
      <c r="A20" s="178" t="s">
        <v>169</v>
      </c>
      <c r="B20" s="177">
        <v>0</v>
      </c>
      <c r="C20" s="177">
        <v>0</v>
      </c>
      <c r="D20" s="177">
        <v>0</v>
      </c>
      <c r="E20" s="177">
        <v>0</v>
      </c>
      <c r="F20" s="177">
        <v>45.75</v>
      </c>
      <c r="G20" s="177">
        <v>-1616.55</v>
      </c>
      <c r="H20" s="177">
        <v>-1587.55</v>
      </c>
      <c r="I20" s="177">
        <v>-37.29</v>
      </c>
      <c r="J20" s="177">
        <v>0</v>
      </c>
      <c r="K20" s="177">
        <v>0</v>
      </c>
      <c r="L20" s="177">
        <v>0</v>
      </c>
      <c r="M20" s="177">
        <v>0</v>
      </c>
      <c r="N20" s="195">
        <f>SUM(B20:M20)</f>
        <v>-3195.64</v>
      </c>
    </row>
    <row r="21" spans="1:14" x14ac:dyDescent="0.2">
      <c r="A21" s="176" t="s">
        <v>124</v>
      </c>
      <c r="B21" s="174">
        <f t="shared" ref="B21:N21" si="1">SUM(B18:B20)</f>
        <v>0</v>
      </c>
      <c r="C21" s="174">
        <f t="shared" si="1"/>
        <v>0</v>
      </c>
      <c r="D21" s="174">
        <f t="shared" si="1"/>
        <v>0</v>
      </c>
      <c r="E21" s="174">
        <f t="shared" si="1"/>
        <v>85</v>
      </c>
      <c r="F21" s="174">
        <f t="shared" si="1"/>
        <v>345.75</v>
      </c>
      <c r="G21" s="174">
        <f t="shared" si="1"/>
        <v>182.25</v>
      </c>
      <c r="H21" s="174">
        <f t="shared" si="1"/>
        <v>319.25</v>
      </c>
      <c r="I21" s="174">
        <f t="shared" si="1"/>
        <v>-37.29</v>
      </c>
      <c r="J21" s="174">
        <f t="shared" si="1"/>
        <v>520</v>
      </c>
      <c r="K21" s="174">
        <f t="shared" si="1"/>
        <v>125</v>
      </c>
      <c r="L21" s="174">
        <f t="shared" si="1"/>
        <v>0</v>
      </c>
      <c r="M21" s="174">
        <f t="shared" si="1"/>
        <v>0</v>
      </c>
      <c r="N21" s="196">
        <f t="shared" si="1"/>
        <v>1539.9600000000005</v>
      </c>
    </row>
    <row r="22" spans="1:14" x14ac:dyDescent="0.2">
      <c r="A22" s="189" t="s">
        <v>168</v>
      </c>
      <c r="B22" s="177">
        <v>0</v>
      </c>
      <c r="C22" s="177">
        <v>0</v>
      </c>
      <c r="D22" s="177">
        <v>0</v>
      </c>
      <c r="E22" s="177">
        <v>0</v>
      </c>
      <c r="F22" s="177">
        <v>0</v>
      </c>
      <c r="G22" s="177">
        <v>-1392.66</v>
      </c>
      <c r="H22" s="177">
        <v>-1809.18</v>
      </c>
      <c r="I22" s="177">
        <v>0</v>
      </c>
      <c r="J22" s="177">
        <v>-218.44</v>
      </c>
      <c r="K22" s="177">
        <v>-240.65</v>
      </c>
      <c r="L22" s="177">
        <v>-25.99</v>
      </c>
      <c r="M22" s="177">
        <v>-5</v>
      </c>
      <c r="N22" s="195">
        <f>SUM(B22:M22)</f>
        <v>-3691.92</v>
      </c>
    </row>
    <row r="23" spans="1:14" ht="14.4" thickBot="1" x14ac:dyDescent="0.25">
      <c r="A23" s="198" t="s">
        <v>123</v>
      </c>
      <c r="B23" s="199">
        <f t="shared" ref="B23:N23" si="2">SUM(B13:B16,B21:B22)</f>
        <v>0</v>
      </c>
      <c r="C23" s="199">
        <f t="shared" si="2"/>
        <v>0</v>
      </c>
      <c r="D23" s="199">
        <f t="shared" si="2"/>
        <v>8665.92</v>
      </c>
      <c r="E23" s="199">
        <f t="shared" si="2"/>
        <v>19777.07</v>
      </c>
      <c r="F23" s="199">
        <f t="shared" si="2"/>
        <v>20962.309999999998</v>
      </c>
      <c r="G23" s="199">
        <f t="shared" si="2"/>
        <v>50101</v>
      </c>
      <c r="H23" s="199">
        <f t="shared" si="2"/>
        <v>87580.99</v>
      </c>
      <c r="I23" s="199">
        <f t="shared" si="2"/>
        <v>11223.15</v>
      </c>
      <c r="J23" s="199">
        <f t="shared" si="2"/>
        <v>21477.420000000002</v>
      </c>
      <c r="K23" s="199">
        <f t="shared" si="2"/>
        <v>14245.87</v>
      </c>
      <c r="L23" s="199">
        <f t="shared" si="2"/>
        <v>2784.71</v>
      </c>
      <c r="M23" s="199">
        <f t="shared" si="2"/>
        <v>757.2</v>
      </c>
      <c r="N23" s="200">
        <f t="shared" si="2"/>
        <v>237575.63999999996</v>
      </c>
    </row>
    <row r="24" spans="1:14" x14ac:dyDescent="0.2">
      <c r="A24" s="181" t="s">
        <v>122</v>
      </c>
      <c r="B24" s="179">
        <f t="shared" ref="B24:N24" si="3">B23-0</f>
        <v>0</v>
      </c>
      <c r="C24" s="179">
        <f t="shared" si="3"/>
        <v>0</v>
      </c>
      <c r="D24" s="179">
        <f t="shared" si="3"/>
        <v>8665.92</v>
      </c>
      <c r="E24" s="179">
        <f t="shared" si="3"/>
        <v>19777.07</v>
      </c>
      <c r="F24" s="179">
        <f t="shared" si="3"/>
        <v>20962.309999999998</v>
      </c>
      <c r="G24" s="179">
        <f t="shared" si="3"/>
        <v>50101</v>
      </c>
      <c r="H24" s="179">
        <f t="shared" si="3"/>
        <v>87580.99</v>
      </c>
      <c r="I24" s="179">
        <f t="shared" si="3"/>
        <v>11223.15</v>
      </c>
      <c r="J24" s="179">
        <f t="shared" si="3"/>
        <v>21477.420000000002</v>
      </c>
      <c r="K24" s="179">
        <f t="shared" si="3"/>
        <v>14245.87</v>
      </c>
      <c r="L24" s="179">
        <f t="shared" si="3"/>
        <v>2784.71</v>
      </c>
      <c r="M24" s="179">
        <f t="shared" si="3"/>
        <v>757.2</v>
      </c>
      <c r="N24" s="197">
        <f t="shared" si="3"/>
        <v>237575.63999999996</v>
      </c>
    </row>
    <row r="25" spans="1:14" ht="10.199999999999999" x14ac:dyDescent="0.2">
      <c r="A25" s="181" t="s">
        <v>121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</row>
    <row r="26" spans="1:14" ht="10.199999999999999" x14ac:dyDescent="0.2">
      <c r="A26" s="180" t="s">
        <v>120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</row>
    <row r="27" spans="1:14" ht="10.199999999999999" x14ac:dyDescent="0.2">
      <c r="A27" s="185" t="s">
        <v>119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</row>
    <row r="28" spans="1:14" x14ac:dyDescent="0.2">
      <c r="A28" s="184" t="s">
        <v>119</v>
      </c>
      <c r="B28" s="177">
        <v>3220.25</v>
      </c>
      <c r="C28" s="177">
        <v>3352</v>
      </c>
      <c r="D28" s="177">
        <v>3790.1</v>
      </c>
      <c r="E28" s="177">
        <v>6103.81</v>
      </c>
      <c r="F28" s="177">
        <v>6391.02</v>
      </c>
      <c r="G28" s="177">
        <v>6842.68</v>
      </c>
      <c r="H28" s="177">
        <v>17156.8</v>
      </c>
      <c r="I28" s="177">
        <v>8744.1</v>
      </c>
      <c r="J28" s="177">
        <v>16532.009999999998</v>
      </c>
      <c r="K28" s="177">
        <v>9045.09</v>
      </c>
      <c r="L28" s="177">
        <v>7369.97</v>
      </c>
      <c r="M28" s="177">
        <v>11592</v>
      </c>
      <c r="N28" s="195">
        <f>SUM(B28:M28)</f>
        <v>100139.83</v>
      </c>
    </row>
    <row r="29" spans="1:14" x14ac:dyDescent="0.2">
      <c r="A29" s="184" t="s">
        <v>118</v>
      </c>
      <c r="B29" s="177">
        <v>0</v>
      </c>
      <c r="C29" s="177">
        <v>0</v>
      </c>
      <c r="D29" s="177">
        <v>0</v>
      </c>
      <c r="E29" s="177">
        <v>0</v>
      </c>
      <c r="F29" s="177">
        <v>0</v>
      </c>
      <c r="G29" s="177">
        <v>-919.88</v>
      </c>
      <c r="H29" s="177">
        <v>0</v>
      </c>
      <c r="I29" s="177">
        <v>0</v>
      </c>
      <c r="J29" s="177">
        <v>-3113.32</v>
      </c>
      <c r="K29" s="177">
        <v>0</v>
      </c>
      <c r="L29" s="177">
        <v>0</v>
      </c>
      <c r="M29" s="177">
        <v>474.32</v>
      </c>
      <c r="N29" s="195">
        <f>SUM(B29:M29)</f>
        <v>-3558.88</v>
      </c>
    </row>
    <row r="30" spans="1:14" x14ac:dyDescent="0.2">
      <c r="A30" s="183" t="s">
        <v>117</v>
      </c>
      <c r="B30" s="174">
        <f t="shared" ref="B30:N30" si="4">SUM(B28:B29)</f>
        <v>3220.25</v>
      </c>
      <c r="C30" s="174">
        <f t="shared" si="4"/>
        <v>3352</v>
      </c>
      <c r="D30" s="174">
        <f t="shared" si="4"/>
        <v>3790.1</v>
      </c>
      <c r="E30" s="174">
        <f t="shared" si="4"/>
        <v>6103.81</v>
      </c>
      <c r="F30" s="174">
        <f t="shared" si="4"/>
        <v>6391.02</v>
      </c>
      <c r="G30" s="174">
        <f t="shared" si="4"/>
        <v>5922.8</v>
      </c>
      <c r="H30" s="174">
        <f t="shared" si="4"/>
        <v>17156.8</v>
      </c>
      <c r="I30" s="174">
        <f t="shared" si="4"/>
        <v>8744.1</v>
      </c>
      <c r="J30" s="174">
        <f t="shared" si="4"/>
        <v>13418.689999999999</v>
      </c>
      <c r="K30" s="174">
        <f t="shared" si="4"/>
        <v>9045.09</v>
      </c>
      <c r="L30" s="174">
        <f t="shared" si="4"/>
        <v>7369.97</v>
      </c>
      <c r="M30" s="174">
        <f t="shared" si="4"/>
        <v>12066.32</v>
      </c>
      <c r="N30" s="196">
        <f t="shared" si="4"/>
        <v>96580.95</v>
      </c>
    </row>
    <row r="31" spans="1:14" ht="10.199999999999999" x14ac:dyDescent="0.2">
      <c r="A31" s="185" t="s">
        <v>116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</row>
    <row r="32" spans="1:14" x14ac:dyDescent="0.2">
      <c r="A32" s="184" t="s">
        <v>115</v>
      </c>
      <c r="B32" s="177">
        <v>124.8</v>
      </c>
      <c r="C32" s="177">
        <v>124.8</v>
      </c>
      <c r="D32" s="177">
        <v>156</v>
      </c>
      <c r="E32" s="177">
        <v>249.6</v>
      </c>
      <c r="F32" s="177">
        <v>365.29</v>
      </c>
      <c r="G32" s="177">
        <v>410.56</v>
      </c>
      <c r="H32" s="177">
        <v>790.54</v>
      </c>
      <c r="I32" s="177">
        <v>374.95</v>
      </c>
      <c r="J32" s="177">
        <v>134.4</v>
      </c>
      <c r="K32" s="177">
        <v>0</v>
      </c>
      <c r="L32" s="177">
        <v>0</v>
      </c>
      <c r="M32" s="177">
        <v>0</v>
      </c>
      <c r="N32" s="195">
        <f>SUM(B32:M32)</f>
        <v>2730.94</v>
      </c>
    </row>
    <row r="33" spans="1:14" x14ac:dyDescent="0.2">
      <c r="A33" s="184" t="s">
        <v>114</v>
      </c>
      <c r="B33" s="177">
        <v>191.6</v>
      </c>
      <c r="C33" s="177">
        <v>201.7</v>
      </c>
      <c r="D33" s="177">
        <v>235.19</v>
      </c>
      <c r="E33" s="177">
        <v>412.2</v>
      </c>
      <c r="F33" s="177">
        <v>434.19</v>
      </c>
      <c r="G33" s="177">
        <v>468.73</v>
      </c>
      <c r="H33" s="177">
        <v>1257.75</v>
      </c>
      <c r="I33" s="177">
        <v>614.19000000000005</v>
      </c>
      <c r="J33" s="177">
        <v>1209.97</v>
      </c>
      <c r="K33" s="177">
        <v>664.34</v>
      </c>
      <c r="L33" s="177">
        <v>543.63</v>
      </c>
      <c r="M33" s="177">
        <v>874.04</v>
      </c>
      <c r="N33" s="195">
        <f>SUM(B33:M33)</f>
        <v>7107.5300000000007</v>
      </c>
    </row>
    <row r="34" spans="1:14" ht="10.199999999999999" x14ac:dyDescent="0.2">
      <c r="A34" s="188" t="s">
        <v>113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</row>
    <row r="35" spans="1:14" x14ac:dyDescent="0.2">
      <c r="A35" s="187" t="s">
        <v>112</v>
      </c>
      <c r="B35" s="177">
        <v>1151</v>
      </c>
      <c r="C35" s="177">
        <v>1151</v>
      </c>
      <c r="D35" s="177">
        <v>1151</v>
      </c>
      <c r="E35" s="177">
        <v>1151</v>
      </c>
      <c r="F35" s="177">
        <v>1151</v>
      </c>
      <c r="G35" s="177">
        <v>1151</v>
      </c>
      <c r="H35" s="177">
        <v>1151</v>
      </c>
      <c r="I35" s="177">
        <v>1151</v>
      </c>
      <c r="J35" s="177">
        <v>1151</v>
      </c>
      <c r="K35" s="177">
        <v>1151</v>
      </c>
      <c r="L35" s="177">
        <v>604.51</v>
      </c>
      <c r="M35" s="177">
        <v>1235.51</v>
      </c>
      <c r="N35" s="195">
        <f>SUM(B35:M35)</f>
        <v>13350.02</v>
      </c>
    </row>
    <row r="36" spans="1:14" x14ac:dyDescent="0.2">
      <c r="A36" s="186" t="s">
        <v>111</v>
      </c>
      <c r="B36" s="174">
        <f t="shared" ref="B36:N36" si="5">SUM(B35)</f>
        <v>1151</v>
      </c>
      <c r="C36" s="174">
        <f t="shared" si="5"/>
        <v>1151</v>
      </c>
      <c r="D36" s="174">
        <f t="shared" si="5"/>
        <v>1151</v>
      </c>
      <c r="E36" s="174">
        <f t="shared" si="5"/>
        <v>1151</v>
      </c>
      <c r="F36" s="174">
        <f t="shared" si="5"/>
        <v>1151</v>
      </c>
      <c r="G36" s="174">
        <f t="shared" si="5"/>
        <v>1151</v>
      </c>
      <c r="H36" s="174">
        <f t="shared" si="5"/>
        <v>1151</v>
      </c>
      <c r="I36" s="174">
        <f t="shared" si="5"/>
        <v>1151</v>
      </c>
      <c r="J36" s="174">
        <f t="shared" si="5"/>
        <v>1151</v>
      </c>
      <c r="K36" s="174">
        <f t="shared" si="5"/>
        <v>1151</v>
      </c>
      <c r="L36" s="174">
        <f t="shared" si="5"/>
        <v>604.51</v>
      </c>
      <c r="M36" s="174">
        <f t="shared" si="5"/>
        <v>1235.51</v>
      </c>
      <c r="N36" s="196">
        <f t="shared" si="5"/>
        <v>13350.02</v>
      </c>
    </row>
    <row r="37" spans="1:14" x14ac:dyDescent="0.2">
      <c r="A37" s="184" t="s">
        <v>110</v>
      </c>
      <c r="B37" s="177">
        <v>10.87</v>
      </c>
      <c r="C37" s="177">
        <v>10.87</v>
      </c>
      <c r="D37" s="177">
        <v>10.87</v>
      </c>
      <c r="E37" s="177">
        <v>10.87</v>
      </c>
      <c r="F37" s="177">
        <v>10.87</v>
      </c>
      <c r="G37" s="177">
        <v>10.87</v>
      </c>
      <c r="H37" s="177">
        <v>10.87</v>
      </c>
      <c r="I37" s="177">
        <v>10.87</v>
      </c>
      <c r="J37" s="177">
        <v>10.87</v>
      </c>
      <c r="K37" s="177">
        <v>10.87</v>
      </c>
      <c r="L37" s="177">
        <v>28.75</v>
      </c>
      <c r="M37" s="177">
        <v>27.38</v>
      </c>
      <c r="N37" s="195">
        <f>SUM(B37:M37)</f>
        <v>164.83</v>
      </c>
    </row>
    <row r="38" spans="1:14" x14ac:dyDescent="0.2">
      <c r="A38" s="184" t="s">
        <v>109</v>
      </c>
      <c r="B38" s="177">
        <v>67.62</v>
      </c>
      <c r="C38" s="177">
        <v>71.19</v>
      </c>
      <c r="D38" s="177">
        <v>83.01</v>
      </c>
      <c r="E38" s="177">
        <v>145.47999999999999</v>
      </c>
      <c r="F38" s="177">
        <v>153.24</v>
      </c>
      <c r="G38" s="177">
        <v>139.87</v>
      </c>
      <c r="H38" s="177">
        <v>303.89999999999998</v>
      </c>
      <c r="I38" s="177">
        <v>95.17</v>
      </c>
      <c r="J38" s="177">
        <v>177.22</v>
      </c>
      <c r="K38" s="177">
        <v>222.95</v>
      </c>
      <c r="L38" s="177">
        <v>155.58000000000001</v>
      </c>
      <c r="M38" s="177">
        <v>145.08000000000001</v>
      </c>
      <c r="N38" s="195">
        <f>SUM(B38:M38)</f>
        <v>1760.31</v>
      </c>
    </row>
    <row r="39" spans="1:14" x14ac:dyDescent="0.2">
      <c r="A39" s="184" t="s">
        <v>108</v>
      </c>
      <c r="B39" s="177">
        <v>73.14</v>
      </c>
      <c r="C39" s="177">
        <v>76.989999999999995</v>
      </c>
      <c r="D39" s="177">
        <v>107.61</v>
      </c>
      <c r="E39" s="177">
        <v>175.12</v>
      </c>
      <c r="F39" s="177">
        <v>184.45</v>
      </c>
      <c r="G39" s="177">
        <v>190.82</v>
      </c>
      <c r="H39" s="177">
        <v>528.16999999999996</v>
      </c>
      <c r="I39" s="177">
        <v>278.12</v>
      </c>
      <c r="J39" s="177">
        <v>544.62</v>
      </c>
      <c r="K39" s="177">
        <v>303.48</v>
      </c>
      <c r="L39" s="177">
        <v>248.72</v>
      </c>
      <c r="M39" s="177">
        <v>399.89</v>
      </c>
      <c r="N39" s="195">
        <f>SUM(B39:M39)</f>
        <v>3111.1299999999992</v>
      </c>
    </row>
    <row r="40" spans="1:14" x14ac:dyDescent="0.2">
      <c r="A40" s="183" t="s">
        <v>107</v>
      </c>
      <c r="B40" s="174">
        <f t="shared" ref="B40:N40" si="6">SUM(B32:B33,B36:B39)</f>
        <v>1619.03</v>
      </c>
      <c r="C40" s="174">
        <f t="shared" si="6"/>
        <v>1636.55</v>
      </c>
      <c r="D40" s="174">
        <f t="shared" si="6"/>
        <v>1743.6799999999998</v>
      </c>
      <c r="E40" s="174">
        <f t="shared" si="6"/>
        <v>2144.27</v>
      </c>
      <c r="F40" s="174">
        <f t="shared" si="6"/>
        <v>2299.04</v>
      </c>
      <c r="G40" s="174">
        <f t="shared" si="6"/>
        <v>2371.85</v>
      </c>
      <c r="H40" s="174">
        <f t="shared" si="6"/>
        <v>4042.23</v>
      </c>
      <c r="I40" s="174">
        <f t="shared" si="6"/>
        <v>2524.3000000000002</v>
      </c>
      <c r="J40" s="174">
        <f t="shared" si="6"/>
        <v>3228.0799999999995</v>
      </c>
      <c r="K40" s="174">
        <f t="shared" si="6"/>
        <v>2352.64</v>
      </c>
      <c r="L40" s="174">
        <f t="shared" si="6"/>
        <v>1581.1899999999998</v>
      </c>
      <c r="M40" s="174">
        <f t="shared" si="6"/>
        <v>2681.9</v>
      </c>
      <c r="N40" s="196">
        <f t="shared" si="6"/>
        <v>28224.760000000002</v>
      </c>
    </row>
    <row r="41" spans="1:14" x14ac:dyDescent="0.2">
      <c r="A41" s="178" t="s">
        <v>167</v>
      </c>
      <c r="B41" s="177">
        <v>0</v>
      </c>
      <c r="C41" s="177">
        <v>0</v>
      </c>
      <c r="D41" s="177">
        <v>0</v>
      </c>
      <c r="E41" s="177">
        <v>0</v>
      </c>
      <c r="F41" s="177">
        <v>0</v>
      </c>
      <c r="G41" s="177">
        <v>0</v>
      </c>
      <c r="H41" s="177">
        <v>2555.89</v>
      </c>
      <c r="I41" s="177">
        <v>0</v>
      </c>
      <c r="J41" s="177">
        <v>829.9</v>
      </c>
      <c r="K41" s="177">
        <v>1921.4</v>
      </c>
      <c r="L41" s="177">
        <v>0</v>
      </c>
      <c r="M41" s="177">
        <v>464.65</v>
      </c>
      <c r="N41" s="195">
        <f>SUM(B41:M41)</f>
        <v>5771.84</v>
      </c>
    </row>
    <row r="42" spans="1:14" ht="10.199999999999999" x14ac:dyDescent="0.2">
      <c r="A42" s="185" t="s">
        <v>106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</row>
    <row r="43" spans="1:14" x14ac:dyDescent="0.2">
      <c r="A43" s="184" t="s">
        <v>105</v>
      </c>
      <c r="B43" s="177">
        <v>0</v>
      </c>
      <c r="C43" s="177">
        <v>0</v>
      </c>
      <c r="D43" s="177">
        <v>0</v>
      </c>
      <c r="E43" s="177">
        <v>0</v>
      </c>
      <c r="F43" s="177">
        <v>600</v>
      </c>
      <c r="G43" s="177">
        <v>300</v>
      </c>
      <c r="H43" s="177">
        <v>0</v>
      </c>
      <c r="I43" s="177">
        <v>200.68</v>
      </c>
      <c r="J43" s="177">
        <v>0</v>
      </c>
      <c r="K43" s="177">
        <v>0</v>
      </c>
      <c r="L43" s="177">
        <v>0</v>
      </c>
      <c r="M43" s="177">
        <v>0</v>
      </c>
      <c r="N43" s="195">
        <f>SUM(B43:M43)</f>
        <v>1100.68</v>
      </c>
    </row>
    <row r="44" spans="1:14" x14ac:dyDescent="0.2">
      <c r="A44" s="184" t="s">
        <v>166</v>
      </c>
      <c r="B44" s="177">
        <v>0</v>
      </c>
      <c r="C44" s="177">
        <v>0</v>
      </c>
      <c r="D44" s="177">
        <v>0</v>
      </c>
      <c r="E44" s="177">
        <v>0</v>
      </c>
      <c r="F44" s="177">
        <v>22.79</v>
      </c>
      <c r="G44" s="177">
        <v>0</v>
      </c>
      <c r="H44" s="177">
        <v>0</v>
      </c>
      <c r="I44" s="177">
        <v>0</v>
      </c>
      <c r="J44" s="177">
        <v>0</v>
      </c>
      <c r="K44" s="177">
        <v>34.229999999999997</v>
      </c>
      <c r="L44" s="177">
        <v>0</v>
      </c>
      <c r="M44" s="177">
        <v>0</v>
      </c>
      <c r="N44" s="195">
        <f>SUM(B44:M44)</f>
        <v>57.019999999999996</v>
      </c>
    </row>
    <row r="45" spans="1:14" x14ac:dyDescent="0.2">
      <c r="A45" s="183" t="s">
        <v>104</v>
      </c>
      <c r="B45" s="174">
        <f t="shared" ref="B45:N45" si="7">SUM(B43:B44)</f>
        <v>0</v>
      </c>
      <c r="C45" s="174">
        <f t="shared" si="7"/>
        <v>0</v>
      </c>
      <c r="D45" s="174">
        <f t="shared" si="7"/>
        <v>0</v>
      </c>
      <c r="E45" s="174">
        <f t="shared" si="7"/>
        <v>0</v>
      </c>
      <c r="F45" s="174">
        <f t="shared" si="7"/>
        <v>622.79</v>
      </c>
      <c r="G45" s="174">
        <f t="shared" si="7"/>
        <v>300</v>
      </c>
      <c r="H45" s="174">
        <f t="shared" si="7"/>
        <v>0</v>
      </c>
      <c r="I45" s="174">
        <f t="shared" si="7"/>
        <v>200.68</v>
      </c>
      <c r="J45" s="174">
        <f t="shared" si="7"/>
        <v>0</v>
      </c>
      <c r="K45" s="174">
        <f t="shared" si="7"/>
        <v>34.229999999999997</v>
      </c>
      <c r="L45" s="174">
        <f t="shared" si="7"/>
        <v>0</v>
      </c>
      <c r="M45" s="174">
        <f t="shared" si="7"/>
        <v>0</v>
      </c>
      <c r="N45" s="196">
        <f t="shared" si="7"/>
        <v>1157.7</v>
      </c>
    </row>
    <row r="46" spans="1:14" x14ac:dyDescent="0.2">
      <c r="A46" s="178" t="s">
        <v>165</v>
      </c>
      <c r="B46" s="177">
        <v>0</v>
      </c>
      <c r="C46" s="177">
        <v>0</v>
      </c>
      <c r="D46" s="177">
        <v>0</v>
      </c>
      <c r="E46" s="177">
        <v>0</v>
      </c>
      <c r="F46" s="177">
        <v>478.5</v>
      </c>
      <c r="G46" s="177">
        <v>1155</v>
      </c>
      <c r="H46" s="177">
        <v>4431.41</v>
      </c>
      <c r="I46" s="177">
        <v>1302.3800000000001</v>
      </c>
      <c r="J46" s="177">
        <v>1293.3499999999999</v>
      </c>
      <c r="K46" s="177">
        <v>0</v>
      </c>
      <c r="L46" s="177">
        <v>0</v>
      </c>
      <c r="M46" s="177">
        <v>0</v>
      </c>
      <c r="N46" s="195">
        <f>SUM(B46:M46)</f>
        <v>8660.64</v>
      </c>
    </row>
    <row r="47" spans="1:14" x14ac:dyDescent="0.2">
      <c r="A47" s="176" t="s">
        <v>103</v>
      </c>
      <c r="B47" s="174">
        <f t="shared" ref="B47:N47" si="8">SUM(B30,B40:B41,B45:B46)</f>
        <v>4839.28</v>
      </c>
      <c r="C47" s="174">
        <f t="shared" si="8"/>
        <v>4988.55</v>
      </c>
      <c r="D47" s="174">
        <f t="shared" si="8"/>
        <v>5533.78</v>
      </c>
      <c r="E47" s="174">
        <f t="shared" si="8"/>
        <v>8248.08</v>
      </c>
      <c r="F47" s="174">
        <f t="shared" si="8"/>
        <v>9791.3500000000022</v>
      </c>
      <c r="G47" s="174">
        <f t="shared" si="8"/>
        <v>9749.65</v>
      </c>
      <c r="H47" s="174">
        <f t="shared" si="8"/>
        <v>28186.329999999998</v>
      </c>
      <c r="I47" s="174">
        <f t="shared" si="8"/>
        <v>12771.460000000003</v>
      </c>
      <c r="J47" s="174">
        <f t="shared" si="8"/>
        <v>18770.019999999997</v>
      </c>
      <c r="K47" s="174">
        <f t="shared" si="8"/>
        <v>13353.359999999999</v>
      </c>
      <c r="L47" s="174">
        <f t="shared" si="8"/>
        <v>8951.16</v>
      </c>
      <c r="M47" s="174">
        <f t="shared" si="8"/>
        <v>15212.869999999999</v>
      </c>
      <c r="N47" s="196">
        <f t="shared" si="8"/>
        <v>140395.89000000001</v>
      </c>
    </row>
    <row r="48" spans="1:14" ht="10.199999999999999" x14ac:dyDescent="0.2">
      <c r="A48" s="180" t="s">
        <v>102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</row>
    <row r="49" spans="1:14" ht="10.199999999999999" x14ac:dyDescent="0.2">
      <c r="A49" s="185" t="s">
        <v>101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</row>
    <row r="50" spans="1:14" x14ac:dyDescent="0.2">
      <c r="A50" s="184" t="s">
        <v>100</v>
      </c>
      <c r="B50" s="177">
        <v>3500</v>
      </c>
      <c r="C50" s="177">
        <v>3500</v>
      </c>
      <c r="D50" s="177">
        <v>3500</v>
      </c>
      <c r="E50" s="177">
        <v>3500</v>
      </c>
      <c r="F50" s="177">
        <v>3500</v>
      </c>
      <c r="G50" s="177">
        <v>9940</v>
      </c>
      <c r="H50" s="177">
        <v>15000</v>
      </c>
      <c r="I50" s="177">
        <v>3500</v>
      </c>
      <c r="J50" s="177">
        <v>5070</v>
      </c>
      <c r="K50" s="177">
        <v>3450</v>
      </c>
      <c r="L50" s="177">
        <v>3500</v>
      </c>
      <c r="M50" s="177">
        <v>3500</v>
      </c>
      <c r="N50" s="195">
        <f>SUM(B50:M50)</f>
        <v>61460</v>
      </c>
    </row>
    <row r="51" spans="1:14" x14ac:dyDescent="0.2">
      <c r="A51" s="183" t="s">
        <v>99</v>
      </c>
      <c r="B51" s="174">
        <f t="shared" ref="B51:N51" si="9">SUM(B50)</f>
        <v>3500</v>
      </c>
      <c r="C51" s="174">
        <f t="shared" si="9"/>
        <v>3500</v>
      </c>
      <c r="D51" s="174">
        <f t="shared" si="9"/>
        <v>3500</v>
      </c>
      <c r="E51" s="174">
        <f t="shared" si="9"/>
        <v>3500</v>
      </c>
      <c r="F51" s="174">
        <f t="shared" si="9"/>
        <v>3500</v>
      </c>
      <c r="G51" s="174">
        <f t="shared" si="9"/>
        <v>9940</v>
      </c>
      <c r="H51" s="174">
        <f t="shared" si="9"/>
        <v>15000</v>
      </c>
      <c r="I51" s="174">
        <f t="shared" si="9"/>
        <v>3500</v>
      </c>
      <c r="J51" s="174">
        <f t="shared" si="9"/>
        <v>5070</v>
      </c>
      <c r="K51" s="174">
        <f t="shared" si="9"/>
        <v>3450</v>
      </c>
      <c r="L51" s="174">
        <f t="shared" si="9"/>
        <v>3500</v>
      </c>
      <c r="M51" s="174">
        <f t="shared" si="9"/>
        <v>3500</v>
      </c>
      <c r="N51" s="196">
        <f t="shared" si="9"/>
        <v>61460</v>
      </c>
    </row>
    <row r="52" spans="1:14" ht="10.199999999999999" x14ac:dyDescent="0.2">
      <c r="A52" s="185" t="s">
        <v>98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</row>
    <row r="53" spans="1:14" x14ac:dyDescent="0.2">
      <c r="A53" s="184" t="s">
        <v>97</v>
      </c>
      <c r="B53" s="177">
        <v>0</v>
      </c>
      <c r="C53" s="177">
        <v>0</v>
      </c>
      <c r="D53" s="177">
        <v>0</v>
      </c>
      <c r="E53" s="177">
        <v>0</v>
      </c>
      <c r="F53" s="177">
        <v>3599.62</v>
      </c>
      <c r="G53" s="177">
        <v>17780.669999999998</v>
      </c>
      <c r="H53" s="177">
        <v>20457.900000000001</v>
      </c>
      <c r="I53" s="177">
        <v>87.5</v>
      </c>
      <c r="J53" s="177">
        <v>4963.45</v>
      </c>
      <c r="K53" s="177">
        <v>2318.5100000000002</v>
      </c>
      <c r="L53" s="177">
        <v>163.38</v>
      </c>
      <c r="M53" s="177">
        <v>729.03</v>
      </c>
      <c r="N53" s="195">
        <f>SUM(B53:M53)</f>
        <v>50100.06</v>
      </c>
    </row>
    <row r="54" spans="1:14" x14ac:dyDescent="0.2">
      <c r="A54" s="184" t="s">
        <v>96</v>
      </c>
      <c r="B54" s="177">
        <v>0</v>
      </c>
      <c r="C54" s="177">
        <v>0</v>
      </c>
      <c r="D54" s="177">
        <v>342.72</v>
      </c>
      <c r="E54" s="177">
        <v>0</v>
      </c>
      <c r="F54" s="177">
        <v>288.18</v>
      </c>
      <c r="G54" s="177">
        <v>1872.88</v>
      </c>
      <c r="H54" s="177">
        <v>1847.36</v>
      </c>
      <c r="I54" s="177">
        <v>80.63</v>
      </c>
      <c r="J54" s="177">
        <v>0</v>
      </c>
      <c r="K54" s="177">
        <v>0</v>
      </c>
      <c r="L54" s="177">
        <v>0</v>
      </c>
      <c r="M54" s="177">
        <v>0</v>
      </c>
      <c r="N54" s="195">
        <f>SUM(B54:M54)</f>
        <v>4431.7700000000004</v>
      </c>
    </row>
    <row r="55" spans="1:14" x14ac:dyDescent="0.2">
      <c r="A55" s="183" t="s">
        <v>95</v>
      </c>
      <c r="B55" s="174">
        <f t="shared" ref="B55:N55" si="10">SUM(B53:B54)</f>
        <v>0</v>
      </c>
      <c r="C55" s="174">
        <f t="shared" si="10"/>
        <v>0</v>
      </c>
      <c r="D55" s="174">
        <f t="shared" si="10"/>
        <v>342.72</v>
      </c>
      <c r="E55" s="174">
        <f t="shared" si="10"/>
        <v>0</v>
      </c>
      <c r="F55" s="174">
        <f t="shared" si="10"/>
        <v>3887.7999999999997</v>
      </c>
      <c r="G55" s="174">
        <f t="shared" si="10"/>
        <v>19653.55</v>
      </c>
      <c r="H55" s="174">
        <f t="shared" si="10"/>
        <v>22305.260000000002</v>
      </c>
      <c r="I55" s="174">
        <f t="shared" si="10"/>
        <v>168.13</v>
      </c>
      <c r="J55" s="174">
        <f t="shared" si="10"/>
        <v>4963.45</v>
      </c>
      <c r="K55" s="174">
        <f t="shared" si="10"/>
        <v>2318.5100000000002</v>
      </c>
      <c r="L55" s="174">
        <f t="shared" si="10"/>
        <v>163.38</v>
      </c>
      <c r="M55" s="174">
        <f t="shared" si="10"/>
        <v>729.03</v>
      </c>
      <c r="N55" s="196">
        <f t="shared" si="10"/>
        <v>54531.83</v>
      </c>
    </row>
    <row r="56" spans="1:14" x14ac:dyDescent="0.2">
      <c r="A56" s="178" t="s">
        <v>94</v>
      </c>
      <c r="B56" s="177">
        <v>5605.93</v>
      </c>
      <c r="C56" s="177">
        <v>5460.02</v>
      </c>
      <c r="D56" s="177">
        <v>5173.33</v>
      </c>
      <c r="E56" s="177">
        <v>3627.84</v>
      </c>
      <c r="F56" s="177">
        <v>3705.82</v>
      </c>
      <c r="G56" s="177">
        <v>2621.97</v>
      </c>
      <c r="H56" s="177">
        <v>8531.86</v>
      </c>
      <c r="I56" s="177">
        <v>6057.74</v>
      </c>
      <c r="J56" s="177">
        <v>3824.74</v>
      </c>
      <c r="K56" s="177">
        <v>4585.68</v>
      </c>
      <c r="L56" s="177">
        <v>4084.41</v>
      </c>
      <c r="M56" s="177">
        <v>7197.23</v>
      </c>
      <c r="N56" s="195">
        <f>SUM(B56:M56)</f>
        <v>60476.569999999992</v>
      </c>
    </row>
    <row r="57" spans="1:14" ht="10.199999999999999" x14ac:dyDescent="0.2">
      <c r="A57" s="185" t="s">
        <v>93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</row>
    <row r="58" spans="1:14" x14ac:dyDescent="0.2">
      <c r="A58" s="184" t="s">
        <v>92</v>
      </c>
      <c r="B58" s="177">
        <v>760</v>
      </c>
      <c r="C58" s="177">
        <v>760</v>
      </c>
      <c r="D58" s="177">
        <v>760</v>
      </c>
      <c r="E58" s="177">
        <v>760</v>
      </c>
      <c r="F58" s="177">
        <v>760</v>
      </c>
      <c r="G58" s="177">
        <v>760</v>
      </c>
      <c r="H58" s="177">
        <v>760</v>
      </c>
      <c r="I58" s="177">
        <v>760</v>
      </c>
      <c r="J58" s="177">
        <v>760</v>
      </c>
      <c r="K58" s="177">
        <v>760</v>
      </c>
      <c r="L58" s="177">
        <v>760</v>
      </c>
      <c r="M58" s="177">
        <v>760</v>
      </c>
      <c r="N58" s="195">
        <f>SUM(B58:M58)</f>
        <v>9120</v>
      </c>
    </row>
    <row r="59" spans="1:14" x14ac:dyDescent="0.2">
      <c r="A59" s="184" t="s">
        <v>91</v>
      </c>
      <c r="B59" s="177">
        <v>2683</v>
      </c>
      <c r="C59" s="177">
        <v>2683</v>
      </c>
      <c r="D59" s="177">
        <v>4673.46</v>
      </c>
      <c r="E59" s="177">
        <v>2683</v>
      </c>
      <c r="F59" s="177">
        <v>2683</v>
      </c>
      <c r="G59" s="177">
        <v>2683</v>
      </c>
      <c r="H59" s="177">
        <v>2683</v>
      </c>
      <c r="I59" s="177">
        <v>2683</v>
      </c>
      <c r="J59" s="177">
        <v>2683</v>
      </c>
      <c r="K59" s="177">
        <v>2683</v>
      </c>
      <c r="L59" s="177">
        <v>2683</v>
      </c>
      <c r="M59" s="177">
        <v>2683</v>
      </c>
      <c r="N59" s="195">
        <f>SUM(B59:M59)</f>
        <v>34186.46</v>
      </c>
    </row>
    <row r="60" spans="1:14" x14ac:dyDescent="0.2">
      <c r="A60" s="184" t="s">
        <v>164</v>
      </c>
      <c r="B60" s="177">
        <v>120</v>
      </c>
      <c r="C60" s="177">
        <v>120</v>
      </c>
      <c r="D60" s="177">
        <v>120</v>
      </c>
      <c r="E60" s="177">
        <v>120</v>
      </c>
      <c r="F60" s="177">
        <v>120</v>
      </c>
      <c r="G60" s="177">
        <v>0</v>
      </c>
      <c r="H60" s="177">
        <v>0</v>
      </c>
      <c r="I60" s="177">
        <v>0</v>
      </c>
      <c r="J60" s="177">
        <v>0</v>
      </c>
      <c r="K60" s="177">
        <v>0</v>
      </c>
      <c r="L60" s="177">
        <v>0</v>
      </c>
      <c r="M60" s="177">
        <v>0</v>
      </c>
      <c r="N60" s="195">
        <f>SUM(B60:M60)</f>
        <v>600</v>
      </c>
    </row>
    <row r="61" spans="1:14" x14ac:dyDescent="0.25">
      <c r="A61" s="209" t="s">
        <v>90</v>
      </c>
      <c r="B61" s="210">
        <f t="shared" ref="B61:N61" si="11">SUM(B58:B60)</f>
        <v>3563</v>
      </c>
      <c r="C61" s="210">
        <f t="shared" si="11"/>
        <v>3563</v>
      </c>
      <c r="D61" s="210">
        <f t="shared" si="11"/>
        <v>5553.46</v>
      </c>
      <c r="E61" s="210">
        <f t="shared" si="11"/>
        <v>3563</v>
      </c>
      <c r="F61" s="210">
        <f t="shared" si="11"/>
        <v>3563</v>
      </c>
      <c r="G61" s="210">
        <f t="shared" si="11"/>
        <v>3443</v>
      </c>
      <c r="H61" s="210">
        <f t="shared" si="11"/>
        <v>3443</v>
      </c>
      <c r="I61" s="210">
        <f t="shared" si="11"/>
        <v>3443</v>
      </c>
      <c r="J61" s="210">
        <f t="shared" si="11"/>
        <v>3443</v>
      </c>
      <c r="K61" s="210">
        <f t="shared" si="11"/>
        <v>3443</v>
      </c>
      <c r="L61" s="210">
        <f t="shared" si="11"/>
        <v>3443</v>
      </c>
      <c r="M61" s="210">
        <f t="shared" si="11"/>
        <v>3443</v>
      </c>
      <c r="N61" s="196">
        <f t="shared" si="11"/>
        <v>43906.46</v>
      </c>
    </row>
    <row r="62" spans="1:14" ht="27.6" customHeight="1" x14ac:dyDescent="0.2">
      <c r="A62" s="185" t="s">
        <v>89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</row>
    <row r="63" spans="1:14" x14ac:dyDescent="0.2">
      <c r="A63" s="184" t="s">
        <v>88</v>
      </c>
      <c r="B63" s="177">
        <v>0</v>
      </c>
      <c r="C63" s="177">
        <v>1446.88</v>
      </c>
      <c r="D63" s="177">
        <v>1149.3800000000001</v>
      </c>
      <c r="E63" s="177">
        <v>1638.74</v>
      </c>
      <c r="F63" s="177">
        <v>2263.5700000000002</v>
      </c>
      <c r="G63" s="177">
        <v>7081.88</v>
      </c>
      <c r="H63" s="177">
        <v>2705.51</v>
      </c>
      <c r="I63" s="177">
        <v>435.07</v>
      </c>
      <c r="J63" s="177">
        <v>212</v>
      </c>
      <c r="K63" s="177">
        <v>212</v>
      </c>
      <c r="L63" s="177">
        <v>145.82</v>
      </c>
      <c r="M63" s="177">
        <v>598.07000000000005</v>
      </c>
      <c r="N63" s="195">
        <f>SUM(B63:M63)</f>
        <v>17888.920000000002</v>
      </c>
    </row>
    <row r="64" spans="1:14" x14ac:dyDescent="0.2">
      <c r="A64" s="184" t="s">
        <v>87</v>
      </c>
      <c r="B64" s="177">
        <v>100</v>
      </c>
      <c r="C64" s="177">
        <v>334.44</v>
      </c>
      <c r="D64" s="177">
        <v>1956.71</v>
      </c>
      <c r="E64" s="177">
        <v>1131.51</v>
      </c>
      <c r="F64" s="177">
        <v>2431.7199999999998</v>
      </c>
      <c r="G64" s="177">
        <v>2153.21</v>
      </c>
      <c r="H64" s="177">
        <v>1062.77</v>
      </c>
      <c r="I64" s="177">
        <v>3420.33</v>
      </c>
      <c r="J64" s="177">
        <v>3052.99</v>
      </c>
      <c r="K64" s="177">
        <v>699.14</v>
      </c>
      <c r="L64" s="177">
        <v>125.79</v>
      </c>
      <c r="M64" s="177">
        <v>657.05</v>
      </c>
      <c r="N64" s="195">
        <f>SUM(B64:M64)</f>
        <v>17125.659999999996</v>
      </c>
    </row>
    <row r="65" spans="1:14" x14ac:dyDescent="0.2">
      <c r="A65" s="183" t="s">
        <v>86</v>
      </c>
      <c r="B65" s="174">
        <f t="shared" ref="B65:N65" si="12">SUM(B63:B64)</f>
        <v>100</v>
      </c>
      <c r="C65" s="174">
        <f t="shared" si="12"/>
        <v>1781.3200000000002</v>
      </c>
      <c r="D65" s="174">
        <f t="shared" si="12"/>
        <v>3106.09</v>
      </c>
      <c r="E65" s="174">
        <f t="shared" si="12"/>
        <v>2770.25</v>
      </c>
      <c r="F65" s="174">
        <f t="shared" si="12"/>
        <v>4695.29</v>
      </c>
      <c r="G65" s="174">
        <f t="shared" si="12"/>
        <v>9235.09</v>
      </c>
      <c r="H65" s="174">
        <f t="shared" si="12"/>
        <v>3768.28</v>
      </c>
      <c r="I65" s="174">
        <f t="shared" si="12"/>
        <v>3855.4</v>
      </c>
      <c r="J65" s="174">
        <f t="shared" si="12"/>
        <v>3264.99</v>
      </c>
      <c r="K65" s="174">
        <f t="shared" si="12"/>
        <v>911.14</v>
      </c>
      <c r="L65" s="174">
        <f t="shared" si="12"/>
        <v>271.61</v>
      </c>
      <c r="M65" s="174">
        <f t="shared" si="12"/>
        <v>1255.1199999999999</v>
      </c>
      <c r="N65" s="196">
        <f t="shared" si="12"/>
        <v>35014.58</v>
      </c>
    </row>
    <row r="66" spans="1:14" x14ac:dyDescent="0.2">
      <c r="A66" s="176" t="s">
        <v>85</v>
      </c>
      <c r="B66" s="174">
        <f t="shared" ref="B66:N66" si="13">SUM(B51,B55:B56,B61,B65)</f>
        <v>12768.93</v>
      </c>
      <c r="C66" s="174">
        <f t="shared" si="13"/>
        <v>14304.34</v>
      </c>
      <c r="D66" s="174">
        <f t="shared" si="13"/>
        <v>17675.599999999999</v>
      </c>
      <c r="E66" s="174">
        <f t="shared" si="13"/>
        <v>13461.09</v>
      </c>
      <c r="F66" s="174">
        <f t="shared" si="13"/>
        <v>19351.91</v>
      </c>
      <c r="G66" s="174">
        <f t="shared" si="13"/>
        <v>44893.61</v>
      </c>
      <c r="H66" s="174">
        <f t="shared" si="13"/>
        <v>53048.4</v>
      </c>
      <c r="I66" s="174">
        <f t="shared" si="13"/>
        <v>17024.27</v>
      </c>
      <c r="J66" s="174">
        <f t="shared" si="13"/>
        <v>20566.18</v>
      </c>
      <c r="K66" s="174">
        <f t="shared" si="13"/>
        <v>14708.33</v>
      </c>
      <c r="L66" s="174">
        <f t="shared" si="13"/>
        <v>11462.400000000001</v>
      </c>
      <c r="M66" s="174">
        <f t="shared" si="13"/>
        <v>16124.379999999997</v>
      </c>
      <c r="N66" s="196">
        <f t="shared" si="13"/>
        <v>255389.44</v>
      </c>
    </row>
    <row r="67" spans="1:14" ht="10.199999999999999" x14ac:dyDescent="0.2">
      <c r="A67" s="180" t="s">
        <v>84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</row>
    <row r="68" spans="1:14" ht="10.199999999999999" x14ac:dyDescent="0.2">
      <c r="A68" s="185" t="s">
        <v>83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</row>
    <row r="69" spans="1:14" x14ac:dyDescent="0.2">
      <c r="A69" s="184" t="s">
        <v>82</v>
      </c>
      <c r="B69" s="177">
        <v>263.01</v>
      </c>
      <c r="C69" s="177">
        <v>0</v>
      </c>
      <c r="D69" s="177">
        <v>35.01</v>
      </c>
      <c r="E69" s="177">
        <v>85.35</v>
      </c>
      <c r="F69" s="177">
        <v>0</v>
      </c>
      <c r="G69" s="177">
        <v>40.43</v>
      </c>
      <c r="H69" s="177">
        <v>0</v>
      </c>
      <c r="I69" s="177">
        <v>31.45</v>
      </c>
      <c r="J69" s="177">
        <v>55</v>
      </c>
      <c r="K69" s="177">
        <v>7.2</v>
      </c>
      <c r="L69" s="177">
        <v>0</v>
      </c>
      <c r="M69" s="177">
        <v>13.06</v>
      </c>
      <c r="N69" s="195">
        <f>SUM(B69:M69)</f>
        <v>530.51</v>
      </c>
    </row>
    <row r="70" spans="1:14" x14ac:dyDescent="0.2">
      <c r="A70" s="184" t="s">
        <v>163</v>
      </c>
      <c r="B70" s="177">
        <v>0</v>
      </c>
      <c r="C70" s="177">
        <v>0</v>
      </c>
      <c r="D70" s="177">
        <v>0</v>
      </c>
      <c r="E70" s="177">
        <v>0</v>
      </c>
      <c r="F70" s="177">
        <v>168.5</v>
      </c>
      <c r="G70" s="177">
        <v>0</v>
      </c>
      <c r="H70" s="177">
        <v>0</v>
      </c>
      <c r="I70" s="177">
        <v>0</v>
      </c>
      <c r="J70" s="177">
        <v>0</v>
      </c>
      <c r="K70" s="177">
        <v>0</v>
      </c>
      <c r="L70" s="177">
        <v>0</v>
      </c>
      <c r="M70" s="177">
        <v>0</v>
      </c>
      <c r="N70" s="195">
        <f>SUM(B70:M70)</f>
        <v>168.5</v>
      </c>
    </row>
    <row r="71" spans="1:14" x14ac:dyDescent="0.2">
      <c r="A71" s="183" t="s">
        <v>81</v>
      </c>
      <c r="B71" s="174">
        <f t="shared" ref="B71:N71" si="14">SUM(B69:B70)</f>
        <v>263.01</v>
      </c>
      <c r="C71" s="174">
        <f t="shared" si="14"/>
        <v>0</v>
      </c>
      <c r="D71" s="174">
        <f t="shared" si="14"/>
        <v>35.01</v>
      </c>
      <c r="E71" s="174">
        <f t="shared" si="14"/>
        <v>85.35</v>
      </c>
      <c r="F71" s="174">
        <f t="shared" si="14"/>
        <v>168.5</v>
      </c>
      <c r="G71" s="174">
        <f t="shared" si="14"/>
        <v>40.43</v>
      </c>
      <c r="H71" s="174">
        <f t="shared" si="14"/>
        <v>0</v>
      </c>
      <c r="I71" s="174">
        <f t="shared" si="14"/>
        <v>31.45</v>
      </c>
      <c r="J71" s="174">
        <f t="shared" si="14"/>
        <v>55</v>
      </c>
      <c r="K71" s="174">
        <f t="shared" si="14"/>
        <v>7.2</v>
      </c>
      <c r="L71" s="174">
        <f t="shared" si="14"/>
        <v>0</v>
      </c>
      <c r="M71" s="174">
        <f t="shared" si="14"/>
        <v>13.06</v>
      </c>
      <c r="N71" s="196">
        <f t="shared" si="14"/>
        <v>699.01</v>
      </c>
    </row>
    <row r="72" spans="1:14" ht="10.199999999999999" x14ac:dyDescent="0.2">
      <c r="A72" s="185" t="s">
        <v>80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</row>
    <row r="73" spans="1:14" x14ac:dyDescent="0.2">
      <c r="A73" s="184" t="s">
        <v>80</v>
      </c>
      <c r="B73" s="177">
        <v>0</v>
      </c>
      <c r="C73" s="177">
        <v>0</v>
      </c>
      <c r="D73" s="177">
        <v>0</v>
      </c>
      <c r="E73" s="177">
        <v>0</v>
      </c>
      <c r="F73" s="177">
        <v>0</v>
      </c>
      <c r="G73" s="177">
        <v>0</v>
      </c>
      <c r="H73" s="177">
        <v>1091.75</v>
      </c>
      <c r="I73" s="177">
        <v>0</v>
      </c>
      <c r="J73" s="177">
        <v>299.64</v>
      </c>
      <c r="K73" s="177">
        <v>0</v>
      </c>
      <c r="L73" s="177">
        <v>0</v>
      </c>
      <c r="M73" s="177">
        <v>17.57</v>
      </c>
      <c r="N73" s="195">
        <f>SUM(B73:M73)</f>
        <v>1408.9599999999998</v>
      </c>
    </row>
    <row r="74" spans="1:14" x14ac:dyDescent="0.2">
      <c r="A74" s="184" t="s">
        <v>162</v>
      </c>
      <c r="B74" s="177">
        <v>0</v>
      </c>
      <c r="C74" s="177">
        <v>0</v>
      </c>
      <c r="D74" s="177">
        <v>0</v>
      </c>
      <c r="E74" s="177">
        <v>0</v>
      </c>
      <c r="F74" s="177">
        <v>0</v>
      </c>
      <c r="G74" s="177">
        <v>0</v>
      </c>
      <c r="H74" s="177">
        <v>166.32</v>
      </c>
      <c r="I74" s="177">
        <v>0</v>
      </c>
      <c r="J74" s="177">
        <v>0</v>
      </c>
      <c r="K74" s="177">
        <v>0</v>
      </c>
      <c r="L74" s="177">
        <v>0</v>
      </c>
      <c r="M74" s="177">
        <v>0</v>
      </c>
      <c r="N74" s="195">
        <f>SUM(B74:M74)</f>
        <v>166.32</v>
      </c>
    </row>
    <row r="75" spans="1:14" x14ac:dyDescent="0.2">
      <c r="A75" s="184" t="s">
        <v>79</v>
      </c>
      <c r="B75" s="177">
        <v>0</v>
      </c>
      <c r="C75" s="177">
        <v>706.61</v>
      </c>
      <c r="D75" s="177">
        <v>206.02</v>
      </c>
      <c r="E75" s="177">
        <v>220.92</v>
      </c>
      <c r="F75" s="177">
        <v>211.04</v>
      </c>
      <c r="G75" s="177">
        <v>151.63</v>
      </c>
      <c r="H75" s="177">
        <v>668.26</v>
      </c>
      <c r="I75" s="177">
        <v>354.09</v>
      </c>
      <c r="J75" s="177">
        <v>245.58</v>
      </c>
      <c r="K75" s="177">
        <v>568.16</v>
      </c>
      <c r="L75" s="177">
        <v>72.61</v>
      </c>
      <c r="M75" s="177">
        <v>0</v>
      </c>
      <c r="N75" s="195">
        <f>SUM(B75:M75)</f>
        <v>3404.9199999999996</v>
      </c>
    </row>
    <row r="76" spans="1:14" x14ac:dyDescent="0.2">
      <c r="A76" s="183" t="s">
        <v>78</v>
      </c>
      <c r="B76" s="174">
        <f t="shared" ref="B76:N76" si="15">SUM(B73:B75)</f>
        <v>0</v>
      </c>
      <c r="C76" s="174">
        <f t="shared" si="15"/>
        <v>706.61</v>
      </c>
      <c r="D76" s="174">
        <f t="shared" si="15"/>
        <v>206.02</v>
      </c>
      <c r="E76" s="174">
        <f t="shared" si="15"/>
        <v>220.92</v>
      </c>
      <c r="F76" s="174">
        <f t="shared" si="15"/>
        <v>211.04</v>
      </c>
      <c r="G76" s="174">
        <f t="shared" si="15"/>
        <v>151.63</v>
      </c>
      <c r="H76" s="174">
        <f t="shared" si="15"/>
        <v>1926.33</v>
      </c>
      <c r="I76" s="174">
        <f t="shared" si="15"/>
        <v>354.09</v>
      </c>
      <c r="J76" s="174">
        <f t="shared" si="15"/>
        <v>545.22</v>
      </c>
      <c r="K76" s="174">
        <f t="shared" si="15"/>
        <v>568.16</v>
      </c>
      <c r="L76" s="174">
        <f t="shared" si="15"/>
        <v>72.61</v>
      </c>
      <c r="M76" s="174">
        <f t="shared" si="15"/>
        <v>17.57</v>
      </c>
      <c r="N76" s="196">
        <f t="shared" si="15"/>
        <v>4980.1999999999989</v>
      </c>
    </row>
    <row r="77" spans="1:14" ht="10.199999999999999" x14ac:dyDescent="0.2">
      <c r="A77" s="185" t="s">
        <v>161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</row>
    <row r="78" spans="1:14" x14ac:dyDescent="0.2">
      <c r="A78" s="184" t="s">
        <v>160</v>
      </c>
      <c r="B78" s="177">
        <v>0</v>
      </c>
      <c r="C78" s="177">
        <v>0</v>
      </c>
      <c r="D78" s="177">
        <v>106.32</v>
      </c>
      <c r="E78" s="177">
        <v>0</v>
      </c>
      <c r="F78" s="177">
        <v>0</v>
      </c>
      <c r="G78" s="177">
        <v>0</v>
      </c>
      <c r="H78" s="177">
        <v>0</v>
      </c>
      <c r="I78" s="177">
        <v>0</v>
      </c>
      <c r="J78" s="177">
        <v>0</v>
      </c>
      <c r="K78" s="177">
        <v>0</v>
      </c>
      <c r="L78" s="177">
        <v>0</v>
      </c>
      <c r="M78" s="177">
        <v>0</v>
      </c>
      <c r="N78" s="195">
        <f>SUM(B78:M78)</f>
        <v>106.32</v>
      </c>
    </row>
    <row r="79" spans="1:14" x14ac:dyDescent="0.2">
      <c r="A79" s="183" t="s">
        <v>159</v>
      </c>
      <c r="B79" s="174">
        <f t="shared" ref="B79:N79" si="16">SUM(B78)</f>
        <v>0</v>
      </c>
      <c r="C79" s="174">
        <f t="shared" si="16"/>
        <v>0</v>
      </c>
      <c r="D79" s="174">
        <f t="shared" si="16"/>
        <v>106.32</v>
      </c>
      <c r="E79" s="174">
        <f t="shared" si="16"/>
        <v>0</v>
      </c>
      <c r="F79" s="174">
        <f t="shared" si="16"/>
        <v>0</v>
      </c>
      <c r="G79" s="174">
        <f t="shared" si="16"/>
        <v>0</v>
      </c>
      <c r="H79" s="174">
        <f t="shared" si="16"/>
        <v>0</v>
      </c>
      <c r="I79" s="174">
        <f t="shared" si="16"/>
        <v>0</v>
      </c>
      <c r="J79" s="174">
        <f t="shared" si="16"/>
        <v>0</v>
      </c>
      <c r="K79" s="174">
        <f t="shared" si="16"/>
        <v>0</v>
      </c>
      <c r="L79" s="174">
        <f t="shared" si="16"/>
        <v>0</v>
      </c>
      <c r="M79" s="174">
        <f t="shared" si="16"/>
        <v>0</v>
      </c>
      <c r="N79" s="196">
        <f t="shared" si="16"/>
        <v>106.32</v>
      </c>
    </row>
    <row r="80" spans="1:14" ht="10.199999999999999" x14ac:dyDescent="0.2">
      <c r="A80" s="185" t="s">
        <v>158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</row>
    <row r="81" spans="1:14" x14ac:dyDescent="0.2">
      <c r="A81" s="184" t="s">
        <v>157</v>
      </c>
      <c r="B81" s="177">
        <v>960.67</v>
      </c>
      <c r="C81" s="177">
        <v>0</v>
      </c>
      <c r="D81" s="177">
        <v>435</v>
      </c>
      <c r="E81" s="177">
        <v>0</v>
      </c>
      <c r="F81" s="177">
        <v>0</v>
      </c>
      <c r="G81" s="177">
        <v>2.6</v>
      </c>
      <c r="H81" s="177">
        <v>0</v>
      </c>
      <c r="I81" s="177">
        <v>120</v>
      </c>
      <c r="J81" s="177">
        <v>95</v>
      </c>
      <c r="K81" s="177">
        <v>0</v>
      </c>
      <c r="L81" s="177">
        <v>0</v>
      </c>
      <c r="M81" s="177">
        <v>0</v>
      </c>
      <c r="N81" s="195">
        <f>SUM(B81:M81)</f>
        <v>1613.27</v>
      </c>
    </row>
    <row r="82" spans="1:14" x14ac:dyDescent="0.2">
      <c r="A82" s="184" t="s">
        <v>189</v>
      </c>
      <c r="B82" s="177">
        <v>0</v>
      </c>
      <c r="C82" s="177">
        <v>0</v>
      </c>
      <c r="D82" s="177">
        <v>0</v>
      </c>
      <c r="E82" s="177">
        <v>0</v>
      </c>
      <c r="F82" s="177">
        <v>0</v>
      </c>
      <c r="G82" s="177">
        <v>0</v>
      </c>
      <c r="H82" s="177">
        <v>0</v>
      </c>
      <c r="I82" s="177">
        <v>0</v>
      </c>
      <c r="J82" s="177">
        <v>0</v>
      </c>
      <c r="K82" s="177">
        <v>0.57999999999999996</v>
      </c>
      <c r="L82" s="177">
        <v>92.41</v>
      </c>
      <c r="M82" s="177">
        <v>0.55000000000000004</v>
      </c>
      <c r="N82" s="195">
        <f>SUM(B82:M82)</f>
        <v>93.539999999999992</v>
      </c>
    </row>
    <row r="83" spans="1:14" x14ac:dyDescent="0.2">
      <c r="A83" s="184" t="s">
        <v>156</v>
      </c>
      <c r="B83" s="177">
        <v>0</v>
      </c>
      <c r="C83" s="177">
        <v>385.22</v>
      </c>
      <c r="D83" s="177">
        <v>-385.22</v>
      </c>
      <c r="E83" s="177">
        <v>0</v>
      </c>
      <c r="F83" s="177">
        <v>0</v>
      </c>
      <c r="G83" s="177">
        <v>0</v>
      </c>
      <c r="H83" s="177">
        <v>0</v>
      </c>
      <c r="I83" s="177">
        <v>0</v>
      </c>
      <c r="J83" s="177">
        <v>0</v>
      </c>
      <c r="K83" s="177">
        <v>0</v>
      </c>
      <c r="L83" s="177">
        <v>0</v>
      </c>
      <c r="M83" s="177">
        <v>0</v>
      </c>
      <c r="N83" s="195">
        <f>SUM(B83:M83)</f>
        <v>0</v>
      </c>
    </row>
    <row r="84" spans="1:14" x14ac:dyDescent="0.2">
      <c r="A84" s="184" t="s">
        <v>155</v>
      </c>
      <c r="B84" s="177">
        <v>0</v>
      </c>
      <c r="C84" s="177">
        <v>636.49</v>
      </c>
      <c r="D84" s="177">
        <v>-636.49</v>
      </c>
      <c r="E84" s="177">
        <v>0</v>
      </c>
      <c r="F84" s="177">
        <v>0</v>
      </c>
      <c r="G84" s="177">
        <v>0</v>
      </c>
      <c r="H84" s="177">
        <v>0</v>
      </c>
      <c r="I84" s="177">
        <v>0</v>
      </c>
      <c r="J84" s="177">
        <v>0</v>
      </c>
      <c r="K84" s="177">
        <v>0</v>
      </c>
      <c r="L84" s="177">
        <v>0</v>
      </c>
      <c r="M84" s="177">
        <v>0</v>
      </c>
      <c r="N84" s="195">
        <f>SUM(B84:M84)</f>
        <v>0</v>
      </c>
    </row>
    <row r="85" spans="1:14" x14ac:dyDescent="0.2">
      <c r="A85" s="183" t="s">
        <v>154</v>
      </c>
      <c r="B85" s="174">
        <f t="shared" ref="B85:N85" si="17">SUM(B81:B84)</f>
        <v>960.67</v>
      </c>
      <c r="C85" s="174">
        <f t="shared" si="17"/>
        <v>1021.71</v>
      </c>
      <c r="D85" s="174">
        <f t="shared" si="17"/>
        <v>-586.71</v>
      </c>
      <c r="E85" s="174">
        <f t="shared" si="17"/>
        <v>0</v>
      </c>
      <c r="F85" s="174">
        <f t="shared" si="17"/>
        <v>0</v>
      </c>
      <c r="G85" s="174">
        <f t="shared" si="17"/>
        <v>2.6</v>
      </c>
      <c r="H85" s="174">
        <f t="shared" si="17"/>
        <v>0</v>
      </c>
      <c r="I85" s="174">
        <f t="shared" si="17"/>
        <v>120</v>
      </c>
      <c r="J85" s="174">
        <f t="shared" si="17"/>
        <v>95</v>
      </c>
      <c r="K85" s="174">
        <f t="shared" si="17"/>
        <v>0.57999999999999996</v>
      </c>
      <c r="L85" s="174">
        <f t="shared" si="17"/>
        <v>92.41</v>
      </c>
      <c r="M85" s="174">
        <f t="shared" si="17"/>
        <v>0.55000000000000004</v>
      </c>
      <c r="N85" s="196">
        <f t="shared" si="17"/>
        <v>1706.81</v>
      </c>
    </row>
    <row r="86" spans="1:14" ht="10.199999999999999" x14ac:dyDescent="0.2">
      <c r="A86" s="185" t="s">
        <v>77</v>
      </c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</row>
    <row r="87" spans="1:14" x14ac:dyDescent="0.2">
      <c r="A87" s="184" t="s">
        <v>76</v>
      </c>
      <c r="B87" s="177">
        <v>180</v>
      </c>
      <c r="C87" s="177">
        <v>180</v>
      </c>
      <c r="D87" s="177">
        <v>180</v>
      </c>
      <c r="E87" s="177">
        <v>180</v>
      </c>
      <c r="F87" s="177">
        <v>180</v>
      </c>
      <c r="G87" s="177">
        <v>180</v>
      </c>
      <c r="H87" s="177">
        <v>180</v>
      </c>
      <c r="I87" s="177">
        <v>180</v>
      </c>
      <c r="J87" s="177">
        <v>180</v>
      </c>
      <c r="K87" s="177">
        <v>180</v>
      </c>
      <c r="L87" s="177">
        <v>0</v>
      </c>
      <c r="M87" s="177">
        <v>180</v>
      </c>
      <c r="N87" s="195">
        <f>SUM(B87:M87)</f>
        <v>1980</v>
      </c>
    </row>
    <row r="88" spans="1:14" x14ac:dyDescent="0.2">
      <c r="A88" s="183" t="s">
        <v>75</v>
      </c>
      <c r="B88" s="174">
        <f t="shared" ref="B88:N88" si="18">SUM(B87)</f>
        <v>180</v>
      </c>
      <c r="C88" s="174">
        <f t="shared" si="18"/>
        <v>180</v>
      </c>
      <c r="D88" s="174">
        <f t="shared" si="18"/>
        <v>180</v>
      </c>
      <c r="E88" s="174">
        <f t="shared" si="18"/>
        <v>180</v>
      </c>
      <c r="F88" s="174">
        <f t="shared" si="18"/>
        <v>180</v>
      </c>
      <c r="G88" s="174">
        <f t="shared" si="18"/>
        <v>180</v>
      </c>
      <c r="H88" s="174">
        <f t="shared" si="18"/>
        <v>180</v>
      </c>
      <c r="I88" s="174">
        <f t="shared" si="18"/>
        <v>180</v>
      </c>
      <c r="J88" s="174">
        <f t="shared" si="18"/>
        <v>180</v>
      </c>
      <c r="K88" s="174">
        <f t="shared" si="18"/>
        <v>180</v>
      </c>
      <c r="L88" s="174">
        <f t="shared" si="18"/>
        <v>0</v>
      </c>
      <c r="M88" s="174">
        <f t="shared" si="18"/>
        <v>180</v>
      </c>
      <c r="N88" s="196">
        <f t="shared" si="18"/>
        <v>1980</v>
      </c>
    </row>
    <row r="89" spans="1:14" x14ac:dyDescent="0.2">
      <c r="A89" s="178" t="s">
        <v>153</v>
      </c>
      <c r="B89" s="177">
        <v>-23.74</v>
      </c>
      <c r="C89" s="177">
        <v>23.74</v>
      </c>
      <c r="D89" s="177">
        <v>1.72</v>
      </c>
      <c r="E89" s="177">
        <v>0</v>
      </c>
      <c r="F89" s="177">
        <v>0</v>
      </c>
      <c r="G89" s="177">
        <v>0</v>
      </c>
      <c r="H89" s="177">
        <v>0</v>
      </c>
      <c r="I89" s="177">
        <v>0</v>
      </c>
      <c r="J89" s="177">
        <v>-23.74</v>
      </c>
      <c r="K89" s="177">
        <v>0</v>
      </c>
      <c r="L89" s="177">
        <v>0</v>
      </c>
      <c r="M89" s="177">
        <v>0</v>
      </c>
      <c r="N89" s="195">
        <f>SUM(B89:M89)</f>
        <v>-22.02</v>
      </c>
    </row>
    <row r="90" spans="1:14" x14ac:dyDescent="0.2">
      <c r="A90" s="176" t="s">
        <v>74</v>
      </c>
      <c r="B90" s="174">
        <f t="shared" ref="B90:N90" si="19">SUM(B71,B76,B79,B85,B88:B89)</f>
        <v>1379.9399999999998</v>
      </c>
      <c r="C90" s="174">
        <f t="shared" si="19"/>
        <v>1932.0600000000002</v>
      </c>
      <c r="D90" s="174">
        <f t="shared" si="19"/>
        <v>-57.640000000000015</v>
      </c>
      <c r="E90" s="174">
        <f t="shared" si="19"/>
        <v>486.27</v>
      </c>
      <c r="F90" s="174">
        <f t="shared" si="19"/>
        <v>559.54</v>
      </c>
      <c r="G90" s="174">
        <f t="shared" si="19"/>
        <v>374.65999999999997</v>
      </c>
      <c r="H90" s="174">
        <f t="shared" si="19"/>
        <v>2106.33</v>
      </c>
      <c r="I90" s="174">
        <f t="shared" si="19"/>
        <v>685.54</v>
      </c>
      <c r="J90" s="174">
        <f t="shared" si="19"/>
        <v>851.48</v>
      </c>
      <c r="K90" s="174">
        <f t="shared" si="19"/>
        <v>755.94</v>
      </c>
      <c r="L90" s="174">
        <f t="shared" si="19"/>
        <v>165.01999999999998</v>
      </c>
      <c r="M90" s="174">
        <f t="shared" si="19"/>
        <v>211.18</v>
      </c>
      <c r="N90" s="196">
        <f t="shared" si="19"/>
        <v>9450.3199999999979</v>
      </c>
    </row>
    <row r="91" spans="1:14" ht="10.199999999999999" x14ac:dyDescent="0.2">
      <c r="A91" s="180" t="s">
        <v>73</v>
      </c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</row>
    <row r="92" spans="1:14" x14ac:dyDescent="0.2">
      <c r="A92" s="178" t="s">
        <v>72</v>
      </c>
      <c r="B92" s="177">
        <v>0</v>
      </c>
      <c r="C92" s="177">
        <v>-23.74</v>
      </c>
      <c r="D92" s="177">
        <v>0</v>
      </c>
      <c r="E92" s="177">
        <v>0</v>
      </c>
      <c r="F92" s="177">
        <v>0</v>
      </c>
      <c r="G92" s="177">
        <v>0</v>
      </c>
      <c r="H92" s="177">
        <v>0</v>
      </c>
      <c r="I92" s="177">
        <v>0</v>
      </c>
      <c r="J92" s="177">
        <v>23.74</v>
      </c>
      <c r="K92" s="177">
        <v>0</v>
      </c>
      <c r="L92" s="177">
        <v>0</v>
      </c>
      <c r="M92" s="177">
        <v>0</v>
      </c>
      <c r="N92" s="195">
        <f>SUM(B92:M92)</f>
        <v>0</v>
      </c>
    </row>
    <row r="93" spans="1:14" x14ac:dyDescent="0.2">
      <c r="A93" s="176" t="s">
        <v>71</v>
      </c>
      <c r="B93" s="174">
        <f t="shared" ref="B93:N93" si="20">SUM(B92)</f>
        <v>0</v>
      </c>
      <c r="C93" s="174">
        <f t="shared" si="20"/>
        <v>-23.74</v>
      </c>
      <c r="D93" s="174">
        <f t="shared" si="20"/>
        <v>0</v>
      </c>
      <c r="E93" s="174">
        <f t="shared" si="20"/>
        <v>0</v>
      </c>
      <c r="F93" s="174">
        <f t="shared" si="20"/>
        <v>0</v>
      </c>
      <c r="G93" s="174">
        <f t="shared" si="20"/>
        <v>0</v>
      </c>
      <c r="H93" s="174">
        <f t="shared" si="20"/>
        <v>0</v>
      </c>
      <c r="I93" s="174">
        <f t="shared" si="20"/>
        <v>0</v>
      </c>
      <c r="J93" s="174">
        <f t="shared" si="20"/>
        <v>23.74</v>
      </c>
      <c r="K93" s="174">
        <f t="shared" si="20"/>
        <v>0</v>
      </c>
      <c r="L93" s="174">
        <f t="shared" si="20"/>
        <v>0</v>
      </c>
      <c r="M93" s="174">
        <f t="shared" si="20"/>
        <v>0</v>
      </c>
      <c r="N93" s="196">
        <f t="shared" si="20"/>
        <v>0</v>
      </c>
    </row>
    <row r="94" spans="1:14" x14ac:dyDescent="0.25">
      <c r="A94" s="211" t="s">
        <v>70</v>
      </c>
      <c r="B94" s="210">
        <f t="shared" ref="B94:N94" si="21">SUM(B47,B66,B90,B93)</f>
        <v>18988.149999999998</v>
      </c>
      <c r="C94" s="210">
        <f t="shared" si="21"/>
        <v>21201.21</v>
      </c>
      <c r="D94" s="210">
        <f t="shared" si="21"/>
        <v>23151.739999999998</v>
      </c>
      <c r="E94" s="210">
        <f t="shared" si="21"/>
        <v>22195.439999999999</v>
      </c>
      <c r="F94" s="210">
        <f t="shared" si="21"/>
        <v>29702.800000000003</v>
      </c>
      <c r="G94" s="210">
        <f t="shared" si="21"/>
        <v>55017.920000000006</v>
      </c>
      <c r="H94" s="210">
        <f t="shared" si="21"/>
        <v>83341.06</v>
      </c>
      <c r="I94" s="210">
        <f t="shared" si="21"/>
        <v>30481.270000000004</v>
      </c>
      <c r="J94" s="210">
        <f t="shared" si="21"/>
        <v>40211.42</v>
      </c>
      <c r="K94" s="210">
        <f t="shared" si="21"/>
        <v>28817.629999999997</v>
      </c>
      <c r="L94" s="210">
        <f t="shared" si="21"/>
        <v>20578.580000000002</v>
      </c>
      <c r="M94" s="210">
        <f t="shared" si="21"/>
        <v>31548.429999999997</v>
      </c>
      <c r="N94" s="201">
        <f t="shared" si="21"/>
        <v>405235.65</v>
      </c>
    </row>
    <row r="95" spans="1:14" ht="12.6" customHeight="1" x14ac:dyDescent="0.2">
      <c r="N95" s="173"/>
    </row>
    <row r="96" spans="1:14" ht="20.399999999999999" customHeight="1" thickBot="1" x14ac:dyDescent="0.25">
      <c r="A96" s="202" t="s">
        <v>69</v>
      </c>
      <c r="B96" s="203">
        <f>B23-B94</f>
        <v>-18988.149999999998</v>
      </c>
      <c r="C96" s="203">
        <f t="shared" ref="C96:N96" si="22">C23-C94</f>
        <v>-21201.21</v>
      </c>
      <c r="D96" s="203">
        <f t="shared" si="22"/>
        <v>-14485.819999999998</v>
      </c>
      <c r="E96" s="203">
        <f t="shared" si="22"/>
        <v>-2418.369999999999</v>
      </c>
      <c r="F96" s="203">
        <f t="shared" si="22"/>
        <v>-8740.4900000000052</v>
      </c>
      <c r="G96" s="203">
        <f t="shared" si="22"/>
        <v>-4916.9200000000055</v>
      </c>
      <c r="H96" s="203">
        <f t="shared" si="22"/>
        <v>4239.9300000000076</v>
      </c>
      <c r="I96" s="203">
        <f t="shared" si="22"/>
        <v>-19258.120000000003</v>
      </c>
      <c r="J96" s="203">
        <f t="shared" si="22"/>
        <v>-18733.999999999996</v>
      </c>
      <c r="K96" s="203">
        <f t="shared" si="22"/>
        <v>-14571.759999999997</v>
      </c>
      <c r="L96" s="203">
        <f t="shared" si="22"/>
        <v>-17793.870000000003</v>
      </c>
      <c r="M96" s="203">
        <f t="shared" si="22"/>
        <v>-30791.229999999996</v>
      </c>
      <c r="N96" s="200">
        <f t="shared" si="22"/>
        <v>-167660.01000000007</v>
      </c>
    </row>
    <row r="97" spans="1:14" ht="10.199999999999999" x14ac:dyDescent="0.2">
      <c r="A97" s="182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</row>
    <row r="98" spans="1:14" ht="10.199999999999999" x14ac:dyDescent="0.2">
      <c r="A98" s="182" t="s">
        <v>68</v>
      </c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</row>
    <row r="99" spans="1:14" ht="10.199999999999999" x14ac:dyDescent="0.2">
      <c r="A99" s="181" t="s">
        <v>67</v>
      </c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</row>
    <row r="100" spans="1:14" ht="10.199999999999999" x14ac:dyDescent="0.2">
      <c r="A100" s="180" t="s">
        <v>66</v>
      </c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</row>
    <row r="101" spans="1:14" x14ac:dyDescent="0.2">
      <c r="A101" s="178" t="s">
        <v>188</v>
      </c>
      <c r="B101" s="177">
        <v>20000</v>
      </c>
      <c r="C101" s="177">
        <v>20000</v>
      </c>
      <c r="D101" s="177">
        <v>20000</v>
      </c>
      <c r="E101" s="177">
        <v>20000</v>
      </c>
      <c r="F101" s="177">
        <v>20000</v>
      </c>
      <c r="G101" s="177">
        <v>0</v>
      </c>
      <c r="H101" s="177">
        <v>0</v>
      </c>
      <c r="I101" s="177">
        <v>0</v>
      </c>
      <c r="J101" s="177">
        <v>20000</v>
      </c>
      <c r="K101" s="177">
        <v>20000</v>
      </c>
      <c r="L101" s="177">
        <v>20000</v>
      </c>
      <c r="M101" s="177">
        <v>20000</v>
      </c>
      <c r="N101" s="195">
        <f>SUM(B101:M101)</f>
        <v>180000</v>
      </c>
    </row>
    <row r="102" spans="1:14" x14ac:dyDescent="0.2">
      <c r="A102" s="176" t="s">
        <v>64</v>
      </c>
      <c r="B102" s="174">
        <f t="shared" ref="B102:N103" si="23">SUM(B101)</f>
        <v>20000</v>
      </c>
      <c r="C102" s="174">
        <f t="shared" si="23"/>
        <v>20000</v>
      </c>
      <c r="D102" s="174">
        <f t="shared" si="23"/>
        <v>20000</v>
      </c>
      <c r="E102" s="174">
        <f t="shared" si="23"/>
        <v>20000</v>
      </c>
      <c r="F102" s="174">
        <f t="shared" si="23"/>
        <v>20000</v>
      </c>
      <c r="G102" s="174">
        <f t="shared" si="23"/>
        <v>0</v>
      </c>
      <c r="H102" s="174">
        <f t="shared" si="23"/>
        <v>0</v>
      </c>
      <c r="I102" s="174">
        <f t="shared" si="23"/>
        <v>0</v>
      </c>
      <c r="J102" s="174">
        <f t="shared" si="23"/>
        <v>20000</v>
      </c>
      <c r="K102" s="174">
        <f t="shared" si="23"/>
        <v>20000</v>
      </c>
      <c r="L102" s="174">
        <f t="shared" si="23"/>
        <v>20000</v>
      </c>
      <c r="M102" s="174">
        <f t="shared" si="23"/>
        <v>20000</v>
      </c>
      <c r="N102" s="196">
        <f t="shared" si="23"/>
        <v>180000</v>
      </c>
    </row>
    <row r="103" spans="1:14" x14ac:dyDescent="0.2">
      <c r="A103" s="175" t="s">
        <v>63</v>
      </c>
      <c r="B103" s="174">
        <f t="shared" si="23"/>
        <v>20000</v>
      </c>
      <c r="C103" s="174">
        <f t="shared" si="23"/>
        <v>20000</v>
      </c>
      <c r="D103" s="174">
        <f t="shared" si="23"/>
        <v>20000</v>
      </c>
      <c r="E103" s="174">
        <f t="shared" si="23"/>
        <v>20000</v>
      </c>
      <c r="F103" s="174">
        <f t="shared" si="23"/>
        <v>20000</v>
      </c>
      <c r="G103" s="174">
        <f t="shared" si="23"/>
        <v>0</v>
      </c>
      <c r="H103" s="174">
        <f t="shared" si="23"/>
        <v>0</v>
      </c>
      <c r="I103" s="174">
        <f t="shared" si="23"/>
        <v>0</v>
      </c>
      <c r="J103" s="174">
        <f t="shared" si="23"/>
        <v>20000</v>
      </c>
      <c r="K103" s="174">
        <f t="shared" si="23"/>
        <v>20000</v>
      </c>
      <c r="L103" s="174">
        <f t="shared" si="23"/>
        <v>20000</v>
      </c>
      <c r="M103" s="174">
        <f t="shared" si="23"/>
        <v>20000</v>
      </c>
      <c r="N103" s="196">
        <f t="shared" si="23"/>
        <v>180000</v>
      </c>
    </row>
    <row r="104" spans="1:14" ht="14.4" thickBot="1" x14ac:dyDescent="0.25">
      <c r="A104" s="202" t="s">
        <v>57</v>
      </c>
      <c r="B104" s="203">
        <f t="shared" ref="B104:N104" si="24">B103-0</f>
        <v>20000</v>
      </c>
      <c r="C104" s="203">
        <f t="shared" si="24"/>
        <v>20000</v>
      </c>
      <c r="D104" s="203">
        <f t="shared" si="24"/>
        <v>20000</v>
      </c>
      <c r="E104" s="203">
        <f t="shared" si="24"/>
        <v>20000</v>
      </c>
      <c r="F104" s="203">
        <f t="shared" si="24"/>
        <v>20000</v>
      </c>
      <c r="G104" s="203">
        <f t="shared" si="24"/>
        <v>0</v>
      </c>
      <c r="H104" s="203">
        <f t="shared" si="24"/>
        <v>0</v>
      </c>
      <c r="I104" s="203">
        <f t="shared" si="24"/>
        <v>0</v>
      </c>
      <c r="J104" s="203">
        <f t="shared" si="24"/>
        <v>20000</v>
      </c>
      <c r="K104" s="203">
        <f t="shared" si="24"/>
        <v>20000</v>
      </c>
      <c r="L104" s="203">
        <f t="shared" si="24"/>
        <v>20000</v>
      </c>
      <c r="M104" s="203">
        <f t="shared" si="24"/>
        <v>20000</v>
      </c>
      <c r="N104" s="200">
        <f t="shared" si="24"/>
        <v>180000</v>
      </c>
    </row>
    <row r="105" spans="1:14" ht="13.2" x14ac:dyDescent="0.2">
      <c r="A105" s="204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N105" s="173"/>
    </row>
    <row r="106" spans="1:14" ht="13.2" x14ac:dyDescent="0.2">
      <c r="A106" s="204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N106" s="173"/>
    </row>
    <row r="107" spans="1:14" ht="14.4" thickBot="1" x14ac:dyDescent="0.25">
      <c r="A107" s="206" t="s">
        <v>56</v>
      </c>
      <c r="B107" s="207">
        <f t="shared" ref="B107:N107" si="25">B96+B104</f>
        <v>1011.8500000000022</v>
      </c>
      <c r="C107" s="207">
        <f t="shared" si="25"/>
        <v>-1201.2099999999991</v>
      </c>
      <c r="D107" s="207">
        <f t="shared" si="25"/>
        <v>5514.1800000000021</v>
      </c>
      <c r="E107" s="207">
        <f t="shared" si="25"/>
        <v>17581.63</v>
      </c>
      <c r="F107" s="207">
        <f t="shared" si="25"/>
        <v>11259.509999999995</v>
      </c>
      <c r="G107" s="207">
        <f t="shared" si="25"/>
        <v>-4916.9200000000055</v>
      </c>
      <c r="H107" s="207">
        <f t="shared" si="25"/>
        <v>4239.9300000000076</v>
      </c>
      <c r="I107" s="207">
        <f t="shared" si="25"/>
        <v>-19258.120000000003</v>
      </c>
      <c r="J107" s="207">
        <f t="shared" si="25"/>
        <v>1266.0000000000036</v>
      </c>
      <c r="K107" s="207">
        <f t="shared" si="25"/>
        <v>5428.2400000000034</v>
      </c>
      <c r="L107" s="207">
        <f t="shared" si="25"/>
        <v>2206.1299999999974</v>
      </c>
      <c r="M107" s="207">
        <f t="shared" si="25"/>
        <v>-10791.229999999996</v>
      </c>
      <c r="N107" s="208">
        <f t="shared" si="25"/>
        <v>12339.989999999932</v>
      </c>
    </row>
    <row r="108" spans="1:14" ht="14.4" thickTop="1" x14ac:dyDescent="0.25"/>
  </sheetData>
  <mergeCells count="5">
    <mergeCell ref="A1:N1"/>
    <mergeCell ref="A2:N2"/>
    <mergeCell ref="A3:N3"/>
    <mergeCell ref="A4:N4"/>
    <mergeCell ref="A5:N5"/>
  </mergeCells>
  <pageMargins left="0.75" right="0.75" top="1" bottom="1" header="0.5" footer="0.5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EB650-91F2-436F-9B83-B4CE1BC5E749}">
  <sheetPr>
    <tabColor rgb="FFFFFF00"/>
  </sheetPr>
  <dimension ref="A1:I88"/>
  <sheetViews>
    <sheetView workbookViewId="0">
      <pane xSplit="1" ySplit="6" topLeftCell="B37" activePane="bottomRight" state="frozen"/>
      <selection activeCell="F36" sqref="F36"/>
      <selection pane="topRight" activeCell="F36" sqref="F36"/>
      <selection pane="bottomLeft" activeCell="F36" sqref="F36"/>
      <selection pane="bottomRight" activeCell="F36" sqref="F36"/>
    </sheetView>
  </sheetViews>
  <sheetFormatPr defaultColWidth="8.81640625" defaultRowHeight="11.4" x14ac:dyDescent="0.2"/>
  <cols>
    <col min="1" max="1" width="33.54296875" style="128" bestFit="1" customWidth="1"/>
    <col min="2" max="2" width="6.1796875" style="128" bestFit="1" customWidth="1"/>
    <col min="3" max="3" width="6.54296875" style="128" bestFit="1" customWidth="1"/>
    <col min="4" max="6" width="7.1796875" style="128" bestFit="1" customWidth="1"/>
    <col min="7" max="8" width="6.81640625" style="128" bestFit="1" customWidth="1"/>
    <col min="9" max="9" width="10.6328125" style="129" customWidth="1"/>
    <col min="10" max="16384" width="8.81640625" style="128"/>
  </cols>
  <sheetData>
    <row r="1" spans="1:9" ht="15.6" x14ac:dyDescent="0.3">
      <c r="A1" s="286" t="s">
        <v>150</v>
      </c>
      <c r="B1" s="286"/>
      <c r="C1" s="286"/>
      <c r="D1" s="286"/>
      <c r="E1" s="286"/>
      <c r="F1" s="286"/>
      <c r="G1" s="286"/>
      <c r="H1" s="286"/>
      <c r="I1" s="286"/>
    </row>
    <row r="2" spans="1:9" ht="15.6" x14ac:dyDescent="0.3">
      <c r="A2" s="286" t="s">
        <v>149</v>
      </c>
      <c r="B2" s="286"/>
      <c r="C2" s="286"/>
      <c r="D2" s="286"/>
      <c r="E2" s="286"/>
      <c r="F2" s="286"/>
      <c r="G2" s="286"/>
      <c r="H2" s="286"/>
      <c r="I2" s="286"/>
    </row>
    <row r="3" spans="1:9" ht="17.399999999999999" x14ac:dyDescent="0.3">
      <c r="A3" s="287" t="s">
        <v>148</v>
      </c>
      <c r="B3" s="287"/>
      <c r="C3" s="287"/>
      <c r="D3" s="287"/>
      <c r="E3" s="287"/>
      <c r="F3" s="287"/>
      <c r="G3" s="287"/>
      <c r="H3" s="287"/>
      <c r="I3" s="287"/>
    </row>
    <row r="4" spans="1:9" ht="17.399999999999999" x14ac:dyDescent="0.3">
      <c r="A4" s="287" t="s">
        <v>147</v>
      </c>
      <c r="B4" s="287"/>
      <c r="C4" s="287"/>
      <c r="D4" s="287"/>
      <c r="E4" s="287"/>
      <c r="F4" s="287"/>
      <c r="G4" s="287"/>
      <c r="H4" s="287"/>
      <c r="I4" s="287"/>
    </row>
    <row r="5" spans="1:9" ht="13.2" x14ac:dyDescent="0.25">
      <c r="A5" s="155" t="s">
        <v>146</v>
      </c>
      <c r="B5" s="156" t="s">
        <v>145</v>
      </c>
      <c r="C5" s="156" t="s">
        <v>144</v>
      </c>
      <c r="D5" s="156" t="s">
        <v>143</v>
      </c>
      <c r="E5" s="156" t="s">
        <v>142</v>
      </c>
      <c r="F5" s="156" t="s">
        <v>141</v>
      </c>
      <c r="G5" s="156" t="s">
        <v>140</v>
      </c>
      <c r="H5" s="156" t="s">
        <v>139</v>
      </c>
      <c r="I5" s="154" t="s">
        <v>138</v>
      </c>
    </row>
    <row r="6" spans="1:9" ht="13.2" x14ac:dyDescent="0.25">
      <c r="A6" s="155" t="s">
        <v>137</v>
      </c>
      <c r="B6" s="156" t="s">
        <v>136</v>
      </c>
      <c r="C6" s="156" t="s">
        <v>136</v>
      </c>
      <c r="D6" s="156" t="s">
        <v>136</v>
      </c>
      <c r="E6" s="156" t="s">
        <v>136</v>
      </c>
      <c r="F6" s="156" t="s">
        <v>136</v>
      </c>
      <c r="G6" s="156" t="s">
        <v>136</v>
      </c>
      <c r="H6" s="156" t="s">
        <v>136</v>
      </c>
      <c r="I6" s="154" t="s">
        <v>136</v>
      </c>
    </row>
    <row r="7" spans="1:9" ht="12" x14ac:dyDescent="0.2">
      <c r="A7" s="144" t="s">
        <v>135</v>
      </c>
      <c r="B7" s="141"/>
      <c r="C7" s="141"/>
      <c r="D7" s="141"/>
      <c r="E7" s="141"/>
      <c r="F7" s="141"/>
      <c r="G7" s="141"/>
      <c r="H7" s="141"/>
      <c r="I7" s="140"/>
    </row>
    <row r="8" spans="1:9" ht="12" x14ac:dyDescent="0.2">
      <c r="A8" s="143" t="s">
        <v>134</v>
      </c>
      <c r="B8" s="141"/>
      <c r="C8" s="141"/>
      <c r="D8" s="141"/>
      <c r="E8" s="141"/>
      <c r="F8" s="141"/>
      <c r="G8" s="141"/>
      <c r="H8" s="141"/>
      <c r="I8" s="140"/>
    </row>
    <row r="9" spans="1:9" ht="12" x14ac:dyDescent="0.2">
      <c r="A9" s="142" t="s">
        <v>133</v>
      </c>
      <c r="B9" s="141"/>
      <c r="C9" s="141"/>
      <c r="D9" s="141"/>
      <c r="E9" s="141"/>
      <c r="F9" s="141"/>
      <c r="G9" s="141"/>
      <c r="H9" s="141"/>
      <c r="I9" s="140"/>
    </row>
    <row r="10" spans="1:9" ht="13.2" x14ac:dyDescent="0.2">
      <c r="A10" s="139" t="s">
        <v>132</v>
      </c>
      <c r="B10" s="138">
        <v>0</v>
      </c>
      <c r="C10" s="138">
        <v>0</v>
      </c>
      <c r="D10" s="138">
        <v>0</v>
      </c>
      <c r="E10" s="138">
        <v>0</v>
      </c>
      <c r="F10" s="138">
        <v>1404</v>
      </c>
      <c r="G10" s="138">
        <v>0</v>
      </c>
      <c r="H10" s="138">
        <v>0</v>
      </c>
      <c r="I10" s="137">
        <f>SUM(B10:H10)</f>
        <v>1404</v>
      </c>
    </row>
    <row r="11" spans="1:9" ht="13.2" x14ac:dyDescent="0.2">
      <c r="A11" s="139" t="s">
        <v>131</v>
      </c>
      <c r="B11" s="138">
        <v>0</v>
      </c>
      <c r="C11" s="138">
        <v>0</v>
      </c>
      <c r="D11" s="138">
        <v>0</v>
      </c>
      <c r="E11" s="138">
        <v>2502.5</v>
      </c>
      <c r="F11" s="138">
        <v>136</v>
      </c>
      <c r="G11" s="138">
        <v>456</v>
      </c>
      <c r="H11" s="138">
        <v>0</v>
      </c>
      <c r="I11" s="137">
        <f>SUM(B11:H11)</f>
        <v>3094.5</v>
      </c>
    </row>
    <row r="12" spans="1:9" ht="13.2" x14ac:dyDescent="0.2">
      <c r="A12" s="136" t="s">
        <v>130</v>
      </c>
      <c r="B12" s="134">
        <f t="shared" ref="B12:I12" si="0">SUM(B10:B11)</f>
        <v>0</v>
      </c>
      <c r="C12" s="134">
        <f t="shared" si="0"/>
        <v>0</v>
      </c>
      <c r="D12" s="134">
        <f t="shared" si="0"/>
        <v>0</v>
      </c>
      <c r="E12" s="134">
        <f t="shared" si="0"/>
        <v>2502.5</v>
      </c>
      <c r="F12" s="134">
        <f t="shared" si="0"/>
        <v>1540</v>
      </c>
      <c r="G12" s="134">
        <f t="shared" si="0"/>
        <v>456</v>
      </c>
      <c r="H12" s="134">
        <f t="shared" si="0"/>
        <v>0</v>
      </c>
      <c r="I12" s="133">
        <f t="shared" si="0"/>
        <v>4498.5</v>
      </c>
    </row>
    <row r="13" spans="1:9" ht="13.2" x14ac:dyDescent="0.2">
      <c r="A13" s="153" t="s">
        <v>129</v>
      </c>
      <c r="B13" s="138">
        <v>0</v>
      </c>
      <c r="C13" s="138">
        <v>0</v>
      </c>
      <c r="D13" s="138">
        <v>0</v>
      </c>
      <c r="E13" s="138">
        <v>7735.5</v>
      </c>
      <c r="F13" s="138">
        <v>1017.45</v>
      </c>
      <c r="G13" s="138">
        <v>9476.65</v>
      </c>
      <c r="H13" s="138">
        <v>400</v>
      </c>
      <c r="I13" s="137">
        <f>SUM(B13:H13)</f>
        <v>18629.599999999999</v>
      </c>
    </row>
    <row r="14" spans="1:9" ht="13.2" x14ac:dyDescent="0.2">
      <c r="A14" s="153" t="s">
        <v>128</v>
      </c>
      <c r="B14" s="138">
        <v>0</v>
      </c>
      <c r="C14" s="138">
        <v>0</v>
      </c>
      <c r="D14" s="138">
        <v>0</v>
      </c>
      <c r="E14" s="138">
        <v>0</v>
      </c>
      <c r="F14" s="138">
        <v>0</v>
      </c>
      <c r="G14" s="138">
        <v>20000</v>
      </c>
      <c r="H14" s="138">
        <v>20000</v>
      </c>
      <c r="I14" s="137">
        <f>SUM(B14:H14)</f>
        <v>40000</v>
      </c>
    </row>
    <row r="15" spans="1:9" ht="13.2" x14ac:dyDescent="0.2">
      <c r="A15" s="153" t="s">
        <v>127</v>
      </c>
      <c r="B15" s="138">
        <v>0</v>
      </c>
      <c r="C15" s="138">
        <v>0</v>
      </c>
      <c r="D15" s="138">
        <v>0</v>
      </c>
      <c r="E15" s="138">
        <v>0</v>
      </c>
      <c r="F15" s="138">
        <v>117</v>
      </c>
      <c r="G15" s="138">
        <v>0</v>
      </c>
      <c r="H15" s="138">
        <v>0</v>
      </c>
      <c r="I15" s="137">
        <f>SUM(B15:H15)</f>
        <v>117</v>
      </c>
    </row>
    <row r="16" spans="1:9" ht="13.2" x14ac:dyDescent="0.2">
      <c r="A16" s="142" t="s">
        <v>126</v>
      </c>
      <c r="B16" s="141"/>
      <c r="C16" s="141"/>
      <c r="D16" s="141"/>
      <c r="E16" s="141"/>
      <c r="F16" s="141"/>
      <c r="G16" s="141"/>
      <c r="H16" s="141"/>
      <c r="I16" s="152"/>
    </row>
    <row r="17" spans="1:9" ht="13.2" x14ac:dyDescent="0.2">
      <c r="A17" s="139" t="s">
        <v>126</v>
      </c>
      <c r="B17" s="138">
        <v>0</v>
      </c>
      <c r="C17" s="138">
        <v>0</v>
      </c>
      <c r="D17" s="138">
        <v>155</v>
      </c>
      <c r="E17" s="138">
        <v>0</v>
      </c>
      <c r="F17" s="138">
        <v>80</v>
      </c>
      <c r="G17" s="138">
        <v>0</v>
      </c>
      <c r="H17" s="138">
        <v>0</v>
      </c>
      <c r="I17" s="137">
        <f>SUM(B17:H17)</f>
        <v>235</v>
      </c>
    </row>
    <row r="18" spans="1:9" ht="13.2" x14ac:dyDescent="0.2">
      <c r="A18" s="139" t="s">
        <v>125</v>
      </c>
      <c r="B18" s="138">
        <v>0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  <c r="H18" s="138">
        <v>160</v>
      </c>
      <c r="I18" s="137">
        <f>SUM(B18:H18)</f>
        <v>160</v>
      </c>
    </row>
    <row r="19" spans="1:9" ht="13.2" x14ac:dyDescent="0.2">
      <c r="A19" s="136" t="s">
        <v>124</v>
      </c>
      <c r="B19" s="134">
        <f t="shared" ref="B19:I19" si="1">SUM(B17:B18)</f>
        <v>0</v>
      </c>
      <c r="C19" s="134">
        <f t="shared" si="1"/>
        <v>0</v>
      </c>
      <c r="D19" s="134">
        <f t="shared" si="1"/>
        <v>155</v>
      </c>
      <c r="E19" s="134">
        <f t="shared" si="1"/>
        <v>0</v>
      </c>
      <c r="F19" s="134">
        <f t="shared" si="1"/>
        <v>80</v>
      </c>
      <c r="G19" s="134">
        <f t="shared" si="1"/>
        <v>0</v>
      </c>
      <c r="H19" s="134">
        <f t="shared" si="1"/>
        <v>160</v>
      </c>
      <c r="I19" s="133">
        <f t="shared" si="1"/>
        <v>395</v>
      </c>
    </row>
    <row r="20" spans="1:9" ht="13.2" x14ac:dyDescent="0.2">
      <c r="A20" s="135" t="s">
        <v>123</v>
      </c>
      <c r="B20" s="134">
        <f t="shared" ref="B20:I20" si="2">SUM(B12:B15,B19)</f>
        <v>0</v>
      </c>
      <c r="C20" s="134">
        <f t="shared" si="2"/>
        <v>0</v>
      </c>
      <c r="D20" s="134">
        <f t="shared" si="2"/>
        <v>155</v>
      </c>
      <c r="E20" s="134">
        <f t="shared" si="2"/>
        <v>10238</v>
      </c>
      <c r="F20" s="134">
        <f t="shared" si="2"/>
        <v>2754.45</v>
      </c>
      <c r="G20" s="134">
        <f t="shared" si="2"/>
        <v>29932.65</v>
      </c>
      <c r="H20" s="134">
        <f t="shared" si="2"/>
        <v>20560</v>
      </c>
      <c r="I20" s="133">
        <f t="shared" si="2"/>
        <v>63640.1</v>
      </c>
    </row>
    <row r="21" spans="1:9" ht="13.2" x14ac:dyDescent="0.2">
      <c r="A21" s="151" t="s">
        <v>122</v>
      </c>
      <c r="B21" s="131">
        <f t="shared" ref="B21:I21" si="3">B20-0</f>
        <v>0</v>
      </c>
      <c r="C21" s="131">
        <f t="shared" si="3"/>
        <v>0</v>
      </c>
      <c r="D21" s="131">
        <f t="shared" si="3"/>
        <v>155</v>
      </c>
      <c r="E21" s="131">
        <f t="shared" si="3"/>
        <v>10238</v>
      </c>
      <c r="F21" s="131">
        <f t="shared" si="3"/>
        <v>2754.45</v>
      </c>
      <c r="G21" s="131">
        <f t="shared" si="3"/>
        <v>29932.65</v>
      </c>
      <c r="H21" s="131">
        <f t="shared" si="3"/>
        <v>20560</v>
      </c>
      <c r="I21" s="130">
        <f t="shared" si="3"/>
        <v>63640.1</v>
      </c>
    </row>
    <row r="22" spans="1:9" ht="12" x14ac:dyDescent="0.2">
      <c r="A22" s="143" t="s">
        <v>121</v>
      </c>
      <c r="B22" s="141"/>
      <c r="C22" s="141"/>
      <c r="D22" s="141"/>
      <c r="E22" s="141"/>
      <c r="F22" s="141"/>
      <c r="G22" s="141"/>
      <c r="H22" s="141"/>
      <c r="I22" s="140"/>
    </row>
    <row r="23" spans="1:9" ht="12" x14ac:dyDescent="0.2">
      <c r="A23" s="142" t="s">
        <v>120</v>
      </c>
      <c r="B23" s="141"/>
      <c r="C23" s="141"/>
      <c r="D23" s="141"/>
      <c r="E23" s="141"/>
      <c r="F23" s="141"/>
      <c r="G23" s="141"/>
      <c r="H23" s="141"/>
      <c r="I23" s="140"/>
    </row>
    <row r="24" spans="1:9" ht="12" x14ac:dyDescent="0.2">
      <c r="A24" s="147" t="s">
        <v>119</v>
      </c>
      <c r="B24" s="141"/>
      <c r="C24" s="141"/>
      <c r="D24" s="141"/>
      <c r="E24" s="141"/>
      <c r="F24" s="141"/>
      <c r="G24" s="141"/>
      <c r="H24" s="141"/>
      <c r="I24" s="140"/>
    </row>
    <row r="25" spans="1:9" ht="13.2" x14ac:dyDescent="0.2">
      <c r="A25" s="146" t="s">
        <v>119</v>
      </c>
      <c r="B25" s="138">
        <v>0</v>
      </c>
      <c r="C25" s="138">
        <v>0</v>
      </c>
      <c r="D25" s="138">
        <v>6021.56</v>
      </c>
      <c r="E25" s="138">
        <v>8707.48</v>
      </c>
      <c r="F25" s="138">
        <v>4846.32</v>
      </c>
      <c r="G25" s="138">
        <v>4854.97</v>
      </c>
      <c r="H25" s="138">
        <v>4687.8</v>
      </c>
      <c r="I25" s="137">
        <f>SUM(B25:H25)</f>
        <v>29118.13</v>
      </c>
    </row>
    <row r="26" spans="1:9" ht="13.2" x14ac:dyDescent="0.2">
      <c r="A26" s="146" t="s">
        <v>118</v>
      </c>
      <c r="B26" s="138">
        <v>0</v>
      </c>
      <c r="C26" s="138">
        <v>0</v>
      </c>
      <c r="D26" s="138">
        <v>0</v>
      </c>
      <c r="E26" s="138">
        <v>4680</v>
      </c>
      <c r="F26" s="138">
        <v>0</v>
      </c>
      <c r="G26" s="138">
        <v>0</v>
      </c>
      <c r="H26" s="138">
        <v>0</v>
      </c>
      <c r="I26" s="137">
        <f>SUM(B26:H26)</f>
        <v>4680</v>
      </c>
    </row>
    <row r="27" spans="1:9" ht="13.2" x14ac:dyDescent="0.2">
      <c r="A27" s="145" t="s">
        <v>117</v>
      </c>
      <c r="B27" s="134">
        <f t="shared" ref="B27:I27" si="4">SUM(B25:B26)</f>
        <v>0</v>
      </c>
      <c r="C27" s="134">
        <f t="shared" si="4"/>
        <v>0</v>
      </c>
      <c r="D27" s="134">
        <f t="shared" si="4"/>
        <v>6021.56</v>
      </c>
      <c r="E27" s="134">
        <f t="shared" si="4"/>
        <v>13387.48</v>
      </c>
      <c r="F27" s="134">
        <f t="shared" si="4"/>
        <v>4846.32</v>
      </c>
      <c r="G27" s="134">
        <f t="shared" si="4"/>
        <v>4854.97</v>
      </c>
      <c r="H27" s="134">
        <f t="shared" si="4"/>
        <v>4687.8</v>
      </c>
      <c r="I27" s="133">
        <f t="shared" si="4"/>
        <v>33798.130000000005</v>
      </c>
    </row>
    <row r="28" spans="1:9" ht="12" x14ac:dyDescent="0.2">
      <c r="A28" s="147" t="s">
        <v>116</v>
      </c>
      <c r="B28" s="141"/>
      <c r="C28" s="141"/>
      <c r="D28" s="141"/>
      <c r="E28" s="141"/>
      <c r="F28" s="141"/>
      <c r="G28" s="141"/>
      <c r="H28" s="141"/>
      <c r="I28" s="140"/>
    </row>
    <row r="29" spans="1:9" ht="13.2" x14ac:dyDescent="0.2">
      <c r="A29" s="146" t="s">
        <v>115</v>
      </c>
      <c r="B29" s="138">
        <v>0</v>
      </c>
      <c r="C29" s="138">
        <v>0</v>
      </c>
      <c r="D29" s="138">
        <v>249.6</v>
      </c>
      <c r="E29" s="138">
        <v>249.6</v>
      </c>
      <c r="F29" s="138">
        <v>124.8</v>
      </c>
      <c r="G29" s="138">
        <v>124.8</v>
      </c>
      <c r="H29" s="138">
        <v>187.2</v>
      </c>
      <c r="I29" s="137">
        <f>SUM(B29:H29)</f>
        <v>936</v>
      </c>
    </row>
    <row r="30" spans="1:9" ht="13.2" x14ac:dyDescent="0.2">
      <c r="A30" s="146" t="s">
        <v>114</v>
      </c>
      <c r="B30" s="138">
        <v>0</v>
      </c>
      <c r="C30" s="138">
        <v>0</v>
      </c>
      <c r="D30" s="138">
        <v>389.79</v>
      </c>
      <c r="E30" s="138">
        <v>595.27</v>
      </c>
      <c r="F30" s="138">
        <v>299.87</v>
      </c>
      <c r="G30" s="138">
        <v>300.56</v>
      </c>
      <c r="H30" s="138">
        <v>287.76</v>
      </c>
      <c r="I30" s="137">
        <f>SUM(B30:H30)</f>
        <v>1873.2499999999998</v>
      </c>
    </row>
    <row r="31" spans="1:9" ht="12" x14ac:dyDescent="0.2">
      <c r="A31" s="150" t="s">
        <v>113</v>
      </c>
      <c r="B31" s="141"/>
      <c r="C31" s="141"/>
      <c r="D31" s="141"/>
      <c r="E31" s="141"/>
      <c r="F31" s="141"/>
      <c r="G31" s="141"/>
      <c r="H31" s="141"/>
      <c r="I31" s="140"/>
    </row>
    <row r="32" spans="1:9" ht="13.2" x14ac:dyDescent="0.2">
      <c r="A32" s="149" t="s">
        <v>112</v>
      </c>
      <c r="B32" s="138">
        <v>0</v>
      </c>
      <c r="C32" s="138">
        <v>0</v>
      </c>
      <c r="D32" s="138">
        <v>1144.3</v>
      </c>
      <c r="E32" s="138">
        <v>1144.3</v>
      </c>
      <c r="F32" s="138">
        <v>1144.3</v>
      </c>
      <c r="G32" s="138">
        <v>1144.3</v>
      </c>
      <c r="H32" s="138">
        <v>1144.3</v>
      </c>
      <c r="I32" s="137">
        <f>SUM(B32:H32)</f>
        <v>5721.5</v>
      </c>
    </row>
    <row r="33" spans="1:9" ht="13.2" x14ac:dyDescent="0.2">
      <c r="A33" s="148" t="s">
        <v>111</v>
      </c>
      <c r="B33" s="134">
        <f t="shared" ref="B33:I33" si="5">SUM(B32)</f>
        <v>0</v>
      </c>
      <c r="C33" s="134">
        <f t="shared" si="5"/>
        <v>0</v>
      </c>
      <c r="D33" s="134">
        <f t="shared" si="5"/>
        <v>1144.3</v>
      </c>
      <c r="E33" s="134">
        <f t="shared" si="5"/>
        <v>1144.3</v>
      </c>
      <c r="F33" s="134">
        <f t="shared" si="5"/>
        <v>1144.3</v>
      </c>
      <c r="G33" s="134">
        <f t="shared" si="5"/>
        <v>1144.3</v>
      </c>
      <c r="H33" s="134">
        <f t="shared" si="5"/>
        <v>1144.3</v>
      </c>
      <c r="I33" s="133">
        <f t="shared" si="5"/>
        <v>5721.5</v>
      </c>
    </row>
    <row r="34" spans="1:9" ht="13.2" x14ac:dyDescent="0.2">
      <c r="A34" s="146" t="s">
        <v>110</v>
      </c>
      <c r="B34" s="138">
        <v>0</v>
      </c>
      <c r="C34" s="138">
        <v>0</v>
      </c>
      <c r="D34" s="138">
        <v>12.11</v>
      </c>
      <c r="E34" s="138">
        <v>12.11</v>
      </c>
      <c r="F34" s="138">
        <v>10.87</v>
      </c>
      <c r="G34" s="138">
        <v>10.87</v>
      </c>
      <c r="H34" s="138">
        <v>10.87</v>
      </c>
      <c r="I34" s="137">
        <f>SUM(B34:H34)</f>
        <v>56.829999999999991</v>
      </c>
    </row>
    <row r="35" spans="1:9" ht="13.2" x14ac:dyDescent="0.2">
      <c r="A35" s="146" t="s">
        <v>109</v>
      </c>
      <c r="B35" s="138">
        <v>0</v>
      </c>
      <c r="C35" s="138">
        <v>0</v>
      </c>
      <c r="D35" s="138">
        <v>10.26</v>
      </c>
      <c r="E35" s="138">
        <v>0</v>
      </c>
      <c r="F35" s="138">
        <v>405.39</v>
      </c>
      <c r="G35" s="138">
        <v>106.07</v>
      </c>
      <c r="H35" s="138">
        <v>101.56</v>
      </c>
      <c r="I35" s="137">
        <f>SUM(B35:H35)</f>
        <v>623.28</v>
      </c>
    </row>
    <row r="36" spans="1:9" ht="13.2" x14ac:dyDescent="0.2">
      <c r="A36" s="146" t="s">
        <v>108</v>
      </c>
      <c r="B36" s="138">
        <v>0</v>
      </c>
      <c r="C36" s="138">
        <v>0</v>
      </c>
      <c r="D36" s="138">
        <v>152.86000000000001</v>
      </c>
      <c r="E36" s="138">
        <v>233.44</v>
      </c>
      <c r="F36" s="138">
        <v>117.6</v>
      </c>
      <c r="G36" s="138">
        <v>117.86</v>
      </c>
      <c r="H36" s="138">
        <v>112.85</v>
      </c>
      <c r="I36" s="137">
        <f>SUM(B36:H36)</f>
        <v>734.61</v>
      </c>
    </row>
    <row r="37" spans="1:9" ht="13.2" x14ac:dyDescent="0.2">
      <c r="A37" s="145" t="s">
        <v>107</v>
      </c>
      <c r="B37" s="134">
        <f t="shared" ref="B37:I37" si="6">SUM(B29:B30,B33:B36)</f>
        <v>0</v>
      </c>
      <c r="C37" s="134">
        <f t="shared" si="6"/>
        <v>0</v>
      </c>
      <c r="D37" s="134">
        <f t="shared" si="6"/>
        <v>1958.92</v>
      </c>
      <c r="E37" s="134">
        <f t="shared" si="6"/>
        <v>2234.7199999999998</v>
      </c>
      <c r="F37" s="134">
        <f t="shared" si="6"/>
        <v>2102.83</v>
      </c>
      <c r="G37" s="134">
        <f t="shared" si="6"/>
        <v>1804.4599999999996</v>
      </c>
      <c r="H37" s="134">
        <f t="shared" si="6"/>
        <v>1844.5399999999997</v>
      </c>
      <c r="I37" s="133">
        <f t="shared" si="6"/>
        <v>9945.4700000000012</v>
      </c>
    </row>
    <row r="38" spans="1:9" ht="12" x14ac:dyDescent="0.2">
      <c r="A38" s="147" t="s">
        <v>106</v>
      </c>
      <c r="B38" s="141"/>
      <c r="C38" s="141"/>
      <c r="D38" s="141"/>
      <c r="E38" s="141"/>
      <c r="F38" s="141"/>
      <c r="G38" s="141"/>
      <c r="H38" s="141"/>
      <c r="I38" s="140"/>
    </row>
    <row r="39" spans="1:9" ht="13.2" x14ac:dyDescent="0.2">
      <c r="A39" s="146" t="s">
        <v>105</v>
      </c>
      <c r="B39" s="138">
        <v>0</v>
      </c>
      <c r="C39" s="138">
        <v>0</v>
      </c>
      <c r="D39" s="138">
        <v>0</v>
      </c>
      <c r="E39" s="138">
        <v>0</v>
      </c>
      <c r="F39" s="138">
        <v>0</v>
      </c>
      <c r="G39" s="138">
        <v>0</v>
      </c>
      <c r="H39" s="138">
        <v>23.74</v>
      </c>
      <c r="I39" s="137">
        <f>SUM(B39:H39)</f>
        <v>23.74</v>
      </c>
    </row>
    <row r="40" spans="1:9" ht="13.2" x14ac:dyDescent="0.2">
      <c r="A40" s="145" t="s">
        <v>104</v>
      </c>
      <c r="B40" s="134">
        <f t="shared" ref="B40:I40" si="7">SUM(B39)</f>
        <v>0</v>
      </c>
      <c r="C40" s="134">
        <f t="shared" si="7"/>
        <v>0</v>
      </c>
      <c r="D40" s="134">
        <f t="shared" si="7"/>
        <v>0</v>
      </c>
      <c r="E40" s="134">
        <f t="shared" si="7"/>
        <v>0</v>
      </c>
      <c r="F40" s="134">
        <f t="shared" si="7"/>
        <v>0</v>
      </c>
      <c r="G40" s="134">
        <f t="shared" si="7"/>
        <v>0</v>
      </c>
      <c r="H40" s="134">
        <f t="shared" si="7"/>
        <v>23.74</v>
      </c>
      <c r="I40" s="133">
        <f t="shared" si="7"/>
        <v>23.74</v>
      </c>
    </row>
    <row r="41" spans="1:9" ht="13.2" x14ac:dyDescent="0.2">
      <c r="A41" s="136" t="s">
        <v>103</v>
      </c>
      <c r="B41" s="134">
        <f t="shared" ref="B41:I41" si="8">SUM(B27,B37,B40)</f>
        <v>0</v>
      </c>
      <c r="C41" s="134">
        <f t="shared" si="8"/>
        <v>0</v>
      </c>
      <c r="D41" s="134">
        <f t="shared" si="8"/>
        <v>7980.4800000000005</v>
      </c>
      <c r="E41" s="134">
        <f t="shared" si="8"/>
        <v>15622.199999999999</v>
      </c>
      <c r="F41" s="134">
        <f t="shared" si="8"/>
        <v>6949.15</v>
      </c>
      <c r="G41" s="134">
        <f t="shared" si="8"/>
        <v>6659.43</v>
      </c>
      <c r="H41" s="134">
        <f t="shared" si="8"/>
        <v>6556.08</v>
      </c>
      <c r="I41" s="133">
        <f t="shared" si="8"/>
        <v>43767.340000000004</v>
      </c>
    </row>
    <row r="42" spans="1:9" ht="12" x14ac:dyDescent="0.2">
      <c r="A42" s="142" t="s">
        <v>102</v>
      </c>
      <c r="B42" s="141"/>
      <c r="C42" s="141"/>
      <c r="D42" s="141"/>
      <c r="E42" s="141"/>
      <c r="F42" s="141"/>
      <c r="G42" s="141"/>
      <c r="H42" s="141"/>
      <c r="I42" s="140"/>
    </row>
    <row r="43" spans="1:9" ht="12" x14ac:dyDescent="0.2">
      <c r="A43" s="147" t="s">
        <v>101</v>
      </c>
      <c r="B43" s="141"/>
      <c r="C43" s="141"/>
      <c r="D43" s="141"/>
      <c r="E43" s="141"/>
      <c r="F43" s="141"/>
      <c r="G43" s="141"/>
      <c r="H43" s="141"/>
      <c r="I43" s="140"/>
    </row>
    <row r="44" spans="1:9" ht="13.2" x14ac:dyDescent="0.2">
      <c r="A44" s="146" t="s">
        <v>100</v>
      </c>
      <c r="B44" s="138">
        <v>0</v>
      </c>
      <c r="C44" s="138">
        <v>0</v>
      </c>
      <c r="D44" s="138">
        <v>5281</v>
      </c>
      <c r="E44" s="138">
        <v>5793</v>
      </c>
      <c r="F44" s="138">
        <v>5409</v>
      </c>
      <c r="G44" s="138">
        <v>5778</v>
      </c>
      <c r="H44" s="138">
        <v>5281</v>
      </c>
      <c r="I44" s="137">
        <f>SUM(B44:H44)</f>
        <v>27542</v>
      </c>
    </row>
    <row r="45" spans="1:9" ht="13.2" x14ac:dyDescent="0.2">
      <c r="A45" s="145" t="s">
        <v>99</v>
      </c>
      <c r="B45" s="134">
        <f t="shared" ref="B45:I45" si="9">SUM(B44)</f>
        <v>0</v>
      </c>
      <c r="C45" s="134">
        <f t="shared" si="9"/>
        <v>0</v>
      </c>
      <c r="D45" s="134">
        <f t="shared" si="9"/>
        <v>5281</v>
      </c>
      <c r="E45" s="134">
        <f t="shared" si="9"/>
        <v>5793</v>
      </c>
      <c r="F45" s="134">
        <f t="shared" si="9"/>
        <v>5409</v>
      </c>
      <c r="G45" s="134">
        <f t="shared" si="9"/>
        <v>5778</v>
      </c>
      <c r="H45" s="134">
        <f t="shared" si="9"/>
        <v>5281</v>
      </c>
      <c r="I45" s="133">
        <f t="shared" si="9"/>
        <v>27542</v>
      </c>
    </row>
    <row r="46" spans="1:9" ht="12" x14ac:dyDescent="0.2">
      <c r="A46" s="147" t="s">
        <v>98</v>
      </c>
      <c r="B46" s="141"/>
      <c r="C46" s="141"/>
      <c r="D46" s="141"/>
      <c r="E46" s="141"/>
      <c r="F46" s="141"/>
      <c r="G46" s="141"/>
      <c r="H46" s="141"/>
      <c r="I46" s="140"/>
    </row>
    <row r="47" spans="1:9" ht="13.2" x14ac:dyDescent="0.2">
      <c r="A47" s="146" t="s">
        <v>97</v>
      </c>
      <c r="B47" s="138">
        <v>0</v>
      </c>
      <c r="C47" s="138">
        <v>0</v>
      </c>
      <c r="D47" s="138">
        <v>100.36</v>
      </c>
      <c r="E47" s="138">
        <v>1292.46</v>
      </c>
      <c r="F47" s="138">
        <v>1227.03</v>
      </c>
      <c r="G47" s="138">
        <v>380.15</v>
      </c>
      <c r="H47" s="138">
        <v>-25.64</v>
      </c>
      <c r="I47" s="137">
        <f>SUM(B47:H47)</f>
        <v>2974.36</v>
      </c>
    </row>
    <row r="48" spans="1:9" ht="13.2" x14ac:dyDescent="0.2">
      <c r="A48" s="146" t="s">
        <v>96</v>
      </c>
      <c r="B48" s="138">
        <v>0</v>
      </c>
      <c r="C48" s="138">
        <v>0</v>
      </c>
      <c r="D48" s="138">
        <v>350</v>
      </c>
      <c r="E48" s="138">
        <v>107.05</v>
      </c>
      <c r="F48" s="138">
        <v>0</v>
      </c>
      <c r="G48" s="138">
        <v>0</v>
      </c>
      <c r="H48" s="138">
        <v>0</v>
      </c>
      <c r="I48" s="137">
        <f>SUM(B48:H48)</f>
        <v>457.05</v>
      </c>
    </row>
    <row r="49" spans="1:9" ht="13.2" x14ac:dyDescent="0.2">
      <c r="A49" s="145" t="s">
        <v>95</v>
      </c>
      <c r="B49" s="134">
        <f t="shared" ref="B49:I49" si="10">SUM(B47:B48)</f>
        <v>0</v>
      </c>
      <c r="C49" s="134">
        <f t="shared" si="10"/>
        <v>0</v>
      </c>
      <c r="D49" s="134">
        <f t="shared" si="10"/>
        <v>450.36</v>
      </c>
      <c r="E49" s="134">
        <f t="shared" si="10"/>
        <v>1399.51</v>
      </c>
      <c r="F49" s="134">
        <f t="shared" si="10"/>
        <v>1227.03</v>
      </c>
      <c r="G49" s="134">
        <f t="shared" si="10"/>
        <v>380.15</v>
      </c>
      <c r="H49" s="134">
        <f t="shared" si="10"/>
        <v>-25.64</v>
      </c>
      <c r="I49" s="133">
        <f t="shared" si="10"/>
        <v>3431.4100000000003</v>
      </c>
    </row>
    <row r="50" spans="1:9" ht="13.2" x14ac:dyDescent="0.2">
      <c r="A50" s="139" t="s">
        <v>94</v>
      </c>
      <c r="B50" s="138">
        <v>0</v>
      </c>
      <c r="C50" s="138">
        <v>970.17</v>
      </c>
      <c r="D50" s="138">
        <v>5447.33</v>
      </c>
      <c r="E50" s="138">
        <v>4513.84</v>
      </c>
      <c r="F50" s="138">
        <v>1893.4</v>
      </c>
      <c r="G50" s="138">
        <v>1253.26</v>
      </c>
      <c r="H50" s="138">
        <v>5355.74</v>
      </c>
      <c r="I50" s="137">
        <f>SUM(B50:H50)</f>
        <v>19433.739999999998</v>
      </c>
    </row>
    <row r="51" spans="1:9" ht="12" x14ac:dyDescent="0.2">
      <c r="A51" s="147" t="s">
        <v>93</v>
      </c>
      <c r="B51" s="141"/>
      <c r="C51" s="141"/>
      <c r="D51" s="141"/>
      <c r="E51" s="141"/>
      <c r="F51" s="141"/>
      <c r="G51" s="141"/>
      <c r="H51" s="141"/>
      <c r="I51" s="140"/>
    </row>
    <row r="52" spans="1:9" ht="13.2" x14ac:dyDescent="0.2">
      <c r="A52" s="146" t="s">
        <v>92</v>
      </c>
      <c r="B52" s="138">
        <v>0</v>
      </c>
      <c r="C52" s="138">
        <v>0</v>
      </c>
      <c r="D52" s="138">
        <v>2140.4</v>
      </c>
      <c r="E52" s="138">
        <v>2140.4</v>
      </c>
      <c r="F52" s="138">
        <v>2140.4</v>
      </c>
      <c r="G52" s="138">
        <v>2140.4</v>
      </c>
      <c r="H52" s="138">
        <v>-7220.06</v>
      </c>
      <c r="I52" s="137">
        <f>SUM(B52:H52)</f>
        <v>1341.54</v>
      </c>
    </row>
    <row r="53" spans="1:9" ht="13.2" x14ac:dyDescent="0.2">
      <c r="A53" s="146" t="s">
        <v>91</v>
      </c>
      <c r="B53" s="138">
        <v>0</v>
      </c>
      <c r="C53" s="138">
        <v>0</v>
      </c>
      <c r="D53" s="138">
        <v>2235.44</v>
      </c>
      <c r="E53" s="138">
        <v>2235.44</v>
      </c>
      <c r="F53" s="138">
        <v>2235.44</v>
      </c>
      <c r="G53" s="138">
        <v>2235.44</v>
      </c>
      <c r="H53" s="138">
        <v>2235.4499999999998</v>
      </c>
      <c r="I53" s="137">
        <f>SUM(B53:H53)</f>
        <v>11177.21</v>
      </c>
    </row>
    <row r="54" spans="1:9" ht="13.2" x14ac:dyDescent="0.2">
      <c r="A54" s="145" t="s">
        <v>90</v>
      </c>
      <c r="B54" s="134">
        <f t="shared" ref="B54:I54" si="11">SUM(B52:B53)</f>
        <v>0</v>
      </c>
      <c r="C54" s="134">
        <f t="shared" si="11"/>
        <v>0</v>
      </c>
      <c r="D54" s="134">
        <f t="shared" si="11"/>
        <v>4375.84</v>
      </c>
      <c r="E54" s="134">
        <f t="shared" si="11"/>
        <v>4375.84</v>
      </c>
      <c r="F54" s="134">
        <f t="shared" si="11"/>
        <v>4375.84</v>
      </c>
      <c r="G54" s="134">
        <f t="shared" si="11"/>
        <v>4375.84</v>
      </c>
      <c r="H54" s="134">
        <f t="shared" si="11"/>
        <v>-4984.6100000000006</v>
      </c>
      <c r="I54" s="133">
        <f t="shared" si="11"/>
        <v>12518.75</v>
      </c>
    </row>
    <row r="55" spans="1:9" ht="12" x14ac:dyDescent="0.2">
      <c r="A55" s="147" t="s">
        <v>89</v>
      </c>
      <c r="B55" s="141"/>
      <c r="C55" s="141"/>
      <c r="D55" s="141"/>
      <c r="E55" s="141"/>
      <c r="F55" s="141"/>
      <c r="G55" s="141"/>
      <c r="H55" s="141"/>
      <c r="I55" s="140"/>
    </row>
    <row r="56" spans="1:9" ht="13.2" x14ac:dyDescent="0.2">
      <c r="A56" s="146" t="s">
        <v>88</v>
      </c>
      <c r="B56" s="138">
        <v>0</v>
      </c>
      <c r="C56" s="138">
        <v>0</v>
      </c>
      <c r="D56" s="138">
        <v>962.42</v>
      </c>
      <c r="E56" s="138">
        <v>545</v>
      </c>
      <c r="F56" s="138">
        <v>617.79</v>
      </c>
      <c r="G56" s="138">
        <v>548.12</v>
      </c>
      <c r="H56" s="138">
        <v>509.91</v>
      </c>
      <c r="I56" s="137">
        <f>SUM(B56:H56)</f>
        <v>3183.24</v>
      </c>
    </row>
    <row r="57" spans="1:9" ht="13.2" x14ac:dyDescent="0.2">
      <c r="A57" s="146" t="s">
        <v>87</v>
      </c>
      <c r="B57" s="138">
        <v>0</v>
      </c>
      <c r="C57" s="138">
        <v>0</v>
      </c>
      <c r="D57" s="138">
        <v>1440</v>
      </c>
      <c r="E57" s="138">
        <v>3169.36</v>
      </c>
      <c r="F57" s="138">
        <v>701.51</v>
      </c>
      <c r="G57" s="138">
        <v>652.61</v>
      </c>
      <c r="H57" s="138">
        <v>337.36</v>
      </c>
      <c r="I57" s="137">
        <f>SUM(B57:H57)</f>
        <v>6300.84</v>
      </c>
    </row>
    <row r="58" spans="1:9" ht="13.2" x14ac:dyDescent="0.2">
      <c r="A58" s="145" t="s">
        <v>86</v>
      </c>
      <c r="B58" s="134">
        <f t="shared" ref="B58:I58" si="12">SUM(B56:B57)</f>
        <v>0</v>
      </c>
      <c r="C58" s="134">
        <f t="shared" si="12"/>
        <v>0</v>
      </c>
      <c r="D58" s="134">
        <f t="shared" si="12"/>
        <v>2402.42</v>
      </c>
      <c r="E58" s="134">
        <f t="shared" si="12"/>
        <v>3714.36</v>
      </c>
      <c r="F58" s="134">
        <f t="shared" si="12"/>
        <v>1319.3</v>
      </c>
      <c r="G58" s="134">
        <f t="shared" si="12"/>
        <v>1200.73</v>
      </c>
      <c r="H58" s="134">
        <f t="shared" si="12"/>
        <v>847.27</v>
      </c>
      <c r="I58" s="133">
        <f t="shared" si="12"/>
        <v>9484.08</v>
      </c>
    </row>
    <row r="59" spans="1:9" ht="13.2" x14ac:dyDescent="0.2">
      <c r="A59" s="136" t="s">
        <v>85</v>
      </c>
      <c r="B59" s="134">
        <f t="shared" ref="B59:I59" si="13">SUM(B45,B49:B50,B54,B58)</f>
        <v>0</v>
      </c>
      <c r="C59" s="134">
        <f t="shared" si="13"/>
        <v>970.17</v>
      </c>
      <c r="D59" s="134">
        <f t="shared" si="13"/>
        <v>17956.949999999997</v>
      </c>
      <c r="E59" s="134">
        <f t="shared" si="13"/>
        <v>19796.55</v>
      </c>
      <c r="F59" s="134">
        <f t="shared" si="13"/>
        <v>14224.57</v>
      </c>
      <c r="G59" s="134">
        <f t="shared" si="13"/>
        <v>12987.98</v>
      </c>
      <c r="H59" s="134">
        <f t="shared" si="13"/>
        <v>6473.7599999999984</v>
      </c>
      <c r="I59" s="133">
        <f t="shared" si="13"/>
        <v>72409.98</v>
      </c>
    </row>
    <row r="60" spans="1:9" ht="12" x14ac:dyDescent="0.2">
      <c r="A60" s="142" t="s">
        <v>84</v>
      </c>
      <c r="B60" s="141"/>
      <c r="C60" s="141"/>
      <c r="D60" s="141"/>
      <c r="E60" s="141"/>
      <c r="F60" s="141"/>
      <c r="G60" s="141"/>
      <c r="H60" s="141"/>
      <c r="I60" s="140"/>
    </row>
    <row r="61" spans="1:9" ht="12" x14ac:dyDescent="0.2">
      <c r="A61" s="147" t="s">
        <v>83</v>
      </c>
      <c r="B61" s="141"/>
      <c r="C61" s="141"/>
      <c r="D61" s="141"/>
      <c r="E61" s="141"/>
      <c r="F61" s="141"/>
      <c r="G61" s="141"/>
      <c r="H61" s="141"/>
      <c r="I61" s="140"/>
    </row>
    <row r="62" spans="1:9" ht="13.2" x14ac:dyDescent="0.2">
      <c r="A62" s="146" t="s">
        <v>82</v>
      </c>
      <c r="B62" s="138">
        <v>0</v>
      </c>
      <c r="C62" s="138">
        <v>50.2</v>
      </c>
      <c r="D62" s="138">
        <v>530.91</v>
      </c>
      <c r="E62" s="138">
        <v>428.54</v>
      </c>
      <c r="F62" s="138">
        <v>121.39</v>
      </c>
      <c r="G62" s="138">
        <v>-108.48</v>
      </c>
      <c r="H62" s="138">
        <v>55</v>
      </c>
      <c r="I62" s="137">
        <f>SUM(B62:H62)</f>
        <v>1077.5600000000002</v>
      </c>
    </row>
    <row r="63" spans="1:9" ht="13.2" x14ac:dyDescent="0.2">
      <c r="A63" s="145" t="s">
        <v>81</v>
      </c>
      <c r="B63" s="134">
        <f t="shared" ref="B63:I63" si="14">SUM(B62)</f>
        <v>0</v>
      </c>
      <c r="C63" s="134">
        <f t="shared" si="14"/>
        <v>50.2</v>
      </c>
      <c r="D63" s="134">
        <f t="shared" si="14"/>
        <v>530.91</v>
      </c>
      <c r="E63" s="134">
        <f t="shared" si="14"/>
        <v>428.54</v>
      </c>
      <c r="F63" s="134">
        <f t="shared" si="14"/>
        <v>121.39</v>
      </c>
      <c r="G63" s="134">
        <f t="shared" si="14"/>
        <v>-108.48</v>
      </c>
      <c r="H63" s="134">
        <f t="shared" si="14"/>
        <v>55</v>
      </c>
      <c r="I63" s="133">
        <f t="shared" si="14"/>
        <v>1077.5600000000002</v>
      </c>
    </row>
    <row r="64" spans="1:9" ht="12" x14ac:dyDescent="0.2">
      <c r="A64" s="147" t="s">
        <v>80</v>
      </c>
      <c r="B64" s="141"/>
      <c r="C64" s="141"/>
      <c r="D64" s="141"/>
      <c r="E64" s="141"/>
      <c r="F64" s="141"/>
      <c r="G64" s="141"/>
      <c r="H64" s="141"/>
      <c r="I64" s="140"/>
    </row>
    <row r="65" spans="1:9" ht="13.2" x14ac:dyDescent="0.2">
      <c r="A65" s="146" t="s">
        <v>79</v>
      </c>
      <c r="B65" s="138">
        <v>0</v>
      </c>
      <c r="C65" s="138">
        <v>0</v>
      </c>
      <c r="D65" s="138">
        <v>292.48</v>
      </c>
      <c r="E65" s="138">
        <v>215.65</v>
      </c>
      <c r="F65" s="138">
        <v>251.26</v>
      </c>
      <c r="G65" s="138">
        <v>54.85</v>
      </c>
      <c r="H65" s="138">
        <v>215.55</v>
      </c>
      <c r="I65" s="137">
        <f>SUM(B65:H65)</f>
        <v>1029.79</v>
      </c>
    </row>
    <row r="66" spans="1:9" ht="13.2" x14ac:dyDescent="0.2">
      <c r="A66" s="145" t="s">
        <v>78</v>
      </c>
      <c r="B66" s="134">
        <f t="shared" ref="B66:I66" si="15">SUM(B65)</f>
        <v>0</v>
      </c>
      <c r="C66" s="134">
        <f t="shared" si="15"/>
        <v>0</v>
      </c>
      <c r="D66" s="134">
        <f t="shared" si="15"/>
        <v>292.48</v>
      </c>
      <c r="E66" s="134">
        <f t="shared" si="15"/>
        <v>215.65</v>
      </c>
      <c r="F66" s="134">
        <f t="shared" si="15"/>
        <v>251.26</v>
      </c>
      <c r="G66" s="134">
        <f t="shared" si="15"/>
        <v>54.85</v>
      </c>
      <c r="H66" s="134">
        <f t="shared" si="15"/>
        <v>215.55</v>
      </c>
      <c r="I66" s="133">
        <f t="shared" si="15"/>
        <v>1029.79</v>
      </c>
    </row>
    <row r="67" spans="1:9" ht="12" x14ac:dyDescent="0.2">
      <c r="A67" s="147" t="s">
        <v>77</v>
      </c>
      <c r="B67" s="141"/>
      <c r="C67" s="141"/>
      <c r="D67" s="141"/>
      <c r="E67" s="141"/>
      <c r="F67" s="141"/>
      <c r="G67" s="141"/>
      <c r="H67" s="141"/>
      <c r="I67" s="140"/>
    </row>
    <row r="68" spans="1:9" ht="13.2" x14ac:dyDescent="0.2">
      <c r="A68" s="146" t="s">
        <v>76</v>
      </c>
      <c r="B68" s="138">
        <v>0</v>
      </c>
      <c r="C68" s="138">
        <v>0</v>
      </c>
      <c r="D68" s="138">
        <v>100</v>
      </c>
      <c r="E68" s="138">
        <v>100</v>
      </c>
      <c r="F68" s="138">
        <v>100</v>
      </c>
      <c r="G68" s="138">
        <v>100</v>
      </c>
      <c r="H68" s="138">
        <v>100</v>
      </c>
      <c r="I68" s="137">
        <f>SUM(B68:H68)</f>
        <v>500</v>
      </c>
    </row>
    <row r="69" spans="1:9" ht="13.2" x14ac:dyDescent="0.2">
      <c r="A69" s="145" t="s">
        <v>75</v>
      </c>
      <c r="B69" s="134">
        <f t="shared" ref="B69:I69" si="16">SUM(B68)</f>
        <v>0</v>
      </c>
      <c r="C69" s="134">
        <f t="shared" si="16"/>
        <v>0</v>
      </c>
      <c r="D69" s="134">
        <f t="shared" si="16"/>
        <v>100</v>
      </c>
      <c r="E69" s="134">
        <f t="shared" si="16"/>
        <v>100</v>
      </c>
      <c r="F69" s="134">
        <f t="shared" si="16"/>
        <v>100</v>
      </c>
      <c r="G69" s="134">
        <f t="shared" si="16"/>
        <v>100</v>
      </c>
      <c r="H69" s="134">
        <f t="shared" si="16"/>
        <v>100</v>
      </c>
      <c r="I69" s="133">
        <f t="shared" si="16"/>
        <v>500</v>
      </c>
    </row>
    <row r="70" spans="1:9" ht="13.2" x14ac:dyDescent="0.2">
      <c r="A70" s="136" t="s">
        <v>74</v>
      </c>
      <c r="B70" s="134">
        <f t="shared" ref="B70:I70" si="17">SUM(B63,B66,B69)</f>
        <v>0</v>
      </c>
      <c r="C70" s="134">
        <f t="shared" si="17"/>
        <v>50.2</v>
      </c>
      <c r="D70" s="134">
        <f t="shared" si="17"/>
        <v>923.39</v>
      </c>
      <c r="E70" s="134">
        <f t="shared" si="17"/>
        <v>744.19</v>
      </c>
      <c r="F70" s="134">
        <f t="shared" si="17"/>
        <v>472.65</v>
      </c>
      <c r="G70" s="134">
        <f t="shared" si="17"/>
        <v>46.37</v>
      </c>
      <c r="H70" s="134">
        <f t="shared" si="17"/>
        <v>370.55</v>
      </c>
      <c r="I70" s="133">
        <f t="shared" si="17"/>
        <v>2607.3500000000004</v>
      </c>
    </row>
    <row r="71" spans="1:9" ht="12" x14ac:dyDescent="0.2">
      <c r="A71" s="142" t="s">
        <v>73</v>
      </c>
      <c r="B71" s="141"/>
      <c r="C71" s="141"/>
      <c r="D71" s="141"/>
      <c r="E71" s="141"/>
      <c r="F71" s="141"/>
      <c r="G71" s="141"/>
      <c r="H71" s="141"/>
      <c r="I71" s="140"/>
    </row>
    <row r="72" spans="1:9" ht="13.2" x14ac:dyDescent="0.2">
      <c r="A72" s="139" t="s">
        <v>72</v>
      </c>
      <c r="B72" s="138">
        <v>0</v>
      </c>
      <c r="C72" s="138">
        <v>0</v>
      </c>
      <c r="D72" s="138">
        <v>0</v>
      </c>
      <c r="E72" s="138">
        <v>21.96</v>
      </c>
      <c r="F72" s="138">
        <v>25.64</v>
      </c>
      <c r="G72" s="138">
        <v>0</v>
      </c>
      <c r="H72" s="138">
        <v>100</v>
      </c>
      <c r="I72" s="137">
        <f>SUM(B72:H72)</f>
        <v>147.6</v>
      </c>
    </row>
    <row r="73" spans="1:9" ht="13.2" x14ac:dyDescent="0.2">
      <c r="A73" s="136" t="s">
        <v>71</v>
      </c>
      <c r="B73" s="134">
        <f t="shared" ref="B73:I73" si="18">SUM(B72)</f>
        <v>0</v>
      </c>
      <c r="C73" s="134">
        <f t="shared" si="18"/>
        <v>0</v>
      </c>
      <c r="D73" s="134">
        <f t="shared" si="18"/>
        <v>0</v>
      </c>
      <c r="E73" s="134">
        <f t="shared" si="18"/>
        <v>21.96</v>
      </c>
      <c r="F73" s="134">
        <f t="shared" si="18"/>
        <v>25.64</v>
      </c>
      <c r="G73" s="134">
        <f t="shared" si="18"/>
        <v>0</v>
      </c>
      <c r="H73" s="134">
        <f t="shared" si="18"/>
        <v>100</v>
      </c>
      <c r="I73" s="133">
        <f t="shared" si="18"/>
        <v>147.6</v>
      </c>
    </row>
    <row r="74" spans="1:9" ht="13.2" x14ac:dyDescent="0.2">
      <c r="A74" s="135" t="s">
        <v>70</v>
      </c>
      <c r="B74" s="134">
        <f t="shared" ref="B74:I74" si="19">SUM(B41,B59,B70,B73)</f>
        <v>0</v>
      </c>
      <c r="C74" s="134">
        <f t="shared" si="19"/>
        <v>1020.37</v>
      </c>
      <c r="D74" s="134">
        <f t="shared" si="19"/>
        <v>26860.819999999996</v>
      </c>
      <c r="E74" s="134">
        <f t="shared" si="19"/>
        <v>36184.9</v>
      </c>
      <c r="F74" s="134">
        <f t="shared" si="19"/>
        <v>21672.010000000002</v>
      </c>
      <c r="G74" s="134">
        <f t="shared" si="19"/>
        <v>19693.78</v>
      </c>
      <c r="H74" s="134">
        <f t="shared" si="19"/>
        <v>13500.389999999998</v>
      </c>
      <c r="I74" s="133">
        <f t="shared" si="19"/>
        <v>118932.27000000002</v>
      </c>
    </row>
    <row r="75" spans="1:9" ht="13.2" x14ac:dyDescent="0.2">
      <c r="A75" s="132" t="s">
        <v>69</v>
      </c>
      <c r="B75" s="131">
        <f t="shared" ref="B75:I75" si="20">B21-B74</f>
        <v>0</v>
      </c>
      <c r="C75" s="131">
        <f t="shared" si="20"/>
        <v>-1020.37</v>
      </c>
      <c r="D75" s="131">
        <f t="shared" si="20"/>
        <v>-26705.819999999996</v>
      </c>
      <c r="E75" s="131">
        <f t="shared" si="20"/>
        <v>-25946.9</v>
      </c>
      <c r="F75" s="131">
        <f t="shared" si="20"/>
        <v>-18917.560000000001</v>
      </c>
      <c r="G75" s="131">
        <f t="shared" si="20"/>
        <v>10238.870000000003</v>
      </c>
      <c r="H75" s="131">
        <f t="shared" si="20"/>
        <v>7059.6100000000024</v>
      </c>
      <c r="I75" s="130">
        <f t="shared" si="20"/>
        <v>-55292.17000000002</v>
      </c>
    </row>
    <row r="76" spans="1:9" ht="12" x14ac:dyDescent="0.2">
      <c r="A76" s="144" t="s">
        <v>68</v>
      </c>
      <c r="B76" s="141"/>
      <c r="C76" s="141"/>
      <c r="D76" s="141"/>
      <c r="E76" s="141"/>
      <c r="F76" s="141"/>
      <c r="G76" s="141"/>
      <c r="H76" s="141"/>
      <c r="I76" s="140"/>
    </row>
    <row r="77" spans="1:9" ht="12" x14ac:dyDescent="0.2">
      <c r="A77" s="143" t="s">
        <v>67</v>
      </c>
      <c r="B77" s="141"/>
      <c r="C77" s="141"/>
      <c r="D77" s="141"/>
      <c r="E77" s="141"/>
      <c r="F77" s="141"/>
      <c r="G77" s="141"/>
      <c r="H77" s="141"/>
      <c r="I77" s="140"/>
    </row>
    <row r="78" spans="1:9" ht="12" x14ac:dyDescent="0.2">
      <c r="A78" s="142" t="s">
        <v>66</v>
      </c>
      <c r="B78" s="141"/>
      <c r="C78" s="141"/>
      <c r="D78" s="141"/>
      <c r="E78" s="141"/>
      <c r="F78" s="141"/>
      <c r="G78" s="141"/>
      <c r="H78" s="141"/>
      <c r="I78" s="140"/>
    </row>
    <row r="79" spans="1:9" ht="13.2" x14ac:dyDescent="0.2">
      <c r="A79" s="139" t="s">
        <v>65</v>
      </c>
      <c r="B79" s="138">
        <v>0</v>
      </c>
      <c r="C79" s="138">
        <v>0</v>
      </c>
      <c r="D79" s="138">
        <v>0</v>
      </c>
      <c r="E79" s="138">
        <v>0</v>
      </c>
      <c r="F79" s="138">
        <v>0</v>
      </c>
      <c r="G79" s="138">
        <v>0</v>
      </c>
      <c r="H79" s="138">
        <v>6000</v>
      </c>
      <c r="I79" s="137">
        <f>SUM(B79:H79)</f>
        <v>6000</v>
      </c>
    </row>
    <row r="80" spans="1:9" ht="13.2" x14ac:dyDescent="0.2">
      <c r="A80" s="136" t="s">
        <v>64</v>
      </c>
      <c r="B80" s="134">
        <f t="shared" ref="B80:I81" si="21">SUM(B79)</f>
        <v>0</v>
      </c>
      <c r="C80" s="134">
        <f t="shared" si="21"/>
        <v>0</v>
      </c>
      <c r="D80" s="134">
        <f t="shared" si="21"/>
        <v>0</v>
      </c>
      <c r="E80" s="134">
        <f t="shared" si="21"/>
        <v>0</v>
      </c>
      <c r="F80" s="134">
        <f t="shared" si="21"/>
        <v>0</v>
      </c>
      <c r="G80" s="134">
        <f t="shared" si="21"/>
        <v>0</v>
      </c>
      <c r="H80" s="134">
        <f t="shared" si="21"/>
        <v>6000</v>
      </c>
      <c r="I80" s="133">
        <f t="shared" si="21"/>
        <v>6000</v>
      </c>
    </row>
    <row r="81" spans="1:9" ht="13.2" x14ac:dyDescent="0.2">
      <c r="A81" s="135" t="s">
        <v>63</v>
      </c>
      <c r="B81" s="134">
        <f t="shared" si="21"/>
        <v>0</v>
      </c>
      <c r="C81" s="134">
        <f t="shared" si="21"/>
        <v>0</v>
      </c>
      <c r="D81" s="134">
        <f t="shared" si="21"/>
        <v>0</v>
      </c>
      <c r="E81" s="134">
        <f t="shared" si="21"/>
        <v>0</v>
      </c>
      <c r="F81" s="134">
        <f t="shared" si="21"/>
        <v>0</v>
      </c>
      <c r="G81" s="134">
        <f t="shared" si="21"/>
        <v>0</v>
      </c>
      <c r="H81" s="134">
        <f t="shared" si="21"/>
        <v>6000</v>
      </c>
      <c r="I81" s="133">
        <f t="shared" si="21"/>
        <v>6000</v>
      </c>
    </row>
    <row r="82" spans="1:9" ht="12" x14ac:dyDescent="0.2">
      <c r="A82" s="143" t="s">
        <v>62</v>
      </c>
      <c r="B82" s="141"/>
      <c r="C82" s="141"/>
      <c r="D82" s="141"/>
      <c r="E82" s="141"/>
      <c r="F82" s="141"/>
      <c r="G82" s="141"/>
      <c r="H82" s="141"/>
      <c r="I82" s="140"/>
    </row>
    <row r="83" spans="1:9" ht="12" x14ac:dyDescent="0.2">
      <c r="A83" s="142" t="s">
        <v>61</v>
      </c>
      <c r="B83" s="141"/>
      <c r="C83" s="141"/>
      <c r="D83" s="141"/>
      <c r="E83" s="141"/>
      <c r="F83" s="141"/>
      <c r="G83" s="141"/>
      <c r="H83" s="141"/>
      <c r="I83" s="140"/>
    </row>
    <row r="84" spans="1:9" ht="13.2" x14ac:dyDescent="0.2">
      <c r="A84" s="139" t="s">
        <v>60</v>
      </c>
      <c r="B84" s="138">
        <v>0</v>
      </c>
      <c r="C84" s="138">
        <v>0</v>
      </c>
      <c r="D84" s="138">
        <v>0</v>
      </c>
      <c r="E84" s="138">
        <v>0</v>
      </c>
      <c r="F84" s="138">
        <v>0</v>
      </c>
      <c r="G84" s="138">
        <v>0</v>
      </c>
      <c r="H84" s="138">
        <v>6000</v>
      </c>
      <c r="I84" s="137">
        <f>SUM(B84:H84)</f>
        <v>6000</v>
      </c>
    </row>
    <row r="85" spans="1:9" ht="13.2" x14ac:dyDescent="0.2">
      <c r="A85" s="136" t="s">
        <v>59</v>
      </c>
      <c r="B85" s="134">
        <f t="shared" ref="B85:I86" si="22">SUM(B84)</f>
        <v>0</v>
      </c>
      <c r="C85" s="134">
        <f t="shared" si="22"/>
        <v>0</v>
      </c>
      <c r="D85" s="134">
        <f t="shared" si="22"/>
        <v>0</v>
      </c>
      <c r="E85" s="134">
        <f t="shared" si="22"/>
        <v>0</v>
      </c>
      <c r="F85" s="134">
        <f t="shared" si="22"/>
        <v>0</v>
      </c>
      <c r="G85" s="134">
        <f t="shared" si="22"/>
        <v>0</v>
      </c>
      <c r="H85" s="134">
        <f t="shared" si="22"/>
        <v>6000</v>
      </c>
      <c r="I85" s="133">
        <f t="shared" si="22"/>
        <v>6000</v>
      </c>
    </row>
    <row r="86" spans="1:9" ht="13.2" x14ac:dyDescent="0.2">
      <c r="A86" s="135" t="s">
        <v>58</v>
      </c>
      <c r="B86" s="134">
        <f t="shared" si="22"/>
        <v>0</v>
      </c>
      <c r="C86" s="134">
        <f t="shared" si="22"/>
        <v>0</v>
      </c>
      <c r="D86" s="134">
        <f t="shared" si="22"/>
        <v>0</v>
      </c>
      <c r="E86" s="134">
        <f t="shared" si="22"/>
        <v>0</v>
      </c>
      <c r="F86" s="134">
        <f t="shared" si="22"/>
        <v>0</v>
      </c>
      <c r="G86" s="134">
        <f t="shared" si="22"/>
        <v>0</v>
      </c>
      <c r="H86" s="134">
        <f t="shared" si="22"/>
        <v>6000</v>
      </c>
      <c r="I86" s="133">
        <f t="shared" si="22"/>
        <v>6000</v>
      </c>
    </row>
    <row r="87" spans="1:9" ht="13.2" x14ac:dyDescent="0.2">
      <c r="A87" s="132" t="s">
        <v>57</v>
      </c>
      <c r="B87" s="131">
        <f t="shared" ref="B87:I87" si="23">B81-B86</f>
        <v>0</v>
      </c>
      <c r="C87" s="131">
        <f t="shared" si="23"/>
        <v>0</v>
      </c>
      <c r="D87" s="131">
        <f t="shared" si="23"/>
        <v>0</v>
      </c>
      <c r="E87" s="131">
        <f t="shared" si="23"/>
        <v>0</v>
      </c>
      <c r="F87" s="131">
        <f t="shared" si="23"/>
        <v>0</v>
      </c>
      <c r="G87" s="131">
        <f t="shared" si="23"/>
        <v>0</v>
      </c>
      <c r="H87" s="131">
        <f t="shared" si="23"/>
        <v>0</v>
      </c>
      <c r="I87" s="130">
        <f t="shared" si="23"/>
        <v>0</v>
      </c>
    </row>
    <row r="88" spans="1:9" ht="13.2" x14ac:dyDescent="0.2">
      <c r="A88" s="132" t="s">
        <v>56</v>
      </c>
      <c r="B88" s="131">
        <f t="shared" ref="B88:I88" si="24">B75+B87</f>
        <v>0</v>
      </c>
      <c r="C88" s="131">
        <f t="shared" si="24"/>
        <v>-1020.37</v>
      </c>
      <c r="D88" s="131">
        <f t="shared" si="24"/>
        <v>-26705.819999999996</v>
      </c>
      <c r="E88" s="131">
        <f t="shared" si="24"/>
        <v>-25946.9</v>
      </c>
      <c r="F88" s="131">
        <f t="shared" si="24"/>
        <v>-18917.560000000001</v>
      </c>
      <c r="G88" s="131">
        <f t="shared" si="24"/>
        <v>10238.870000000003</v>
      </c>
      <c r="H88" s="131">
        <f t="shared" si="24"/>
        <v>7059.6100000000024</v>
      </c>
      <c r="I88" s="130">
        <f t="shared" si="24"/>
        <v>-55292.17000000002</v>
      </c>
    </row>
  </sheetData>
  <mergeCells count="4">
    <mergeCell ref="A1:I1"/>
    <mergeCell ref="A2:I2"/>
    <mergeCell ref="A3:I3"/>
    <mergeCell ref="A4:I4"/>
  </mergeCells>
  <pageMargins left="0.75" right="0.75" top="1" bottom="1" header="0.5" footer="0.5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46b246-1b1d-49d3-981f-ae7f4a4dac6a">P6KR3NQPVVUC-114887339-291888</_dlc_DocId>
    <_dlc_DocIdUrl xmlns="de46b246-1b1d-49d3-981f-ae7f4a4dac6a">
      <Url>https://unitedcamps.sharepoint.com/sites/UCCR_Office/_layouts/15/DocIdRedir.aspx?ID=P6KR3NQPVVUC-114887339-291888</Url>
      <Description>P6KR3NQPVVUC-114887339-291888</Description>
    </_dlc_DocIdUrl>
    <lcf76f155ced4ddcb4097134ff3c332f xmlns="72497645-c6bf-4d3f-a336-8c0f52f79c8e">
      <Terms xmlns="http://schemas.microsoft.com/office/infopath/2007/PartnerControls"/>
    </lcf76f155ced4ddcb4097134ff3c332f>
    <TaxCatchAll xmlns="de46b246-1b1d-49d3-981f-ae7f4a4dac6a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09721A19219744919BE73EDFEEFE12" ma:contentTypeVersion="697" ma:contentTypeDescription="Create a new document." ma:contentTypeScope="" ma:versionID="b55987b723c50715a5ae3832b0084c5c">
  <xsd:schema xmlns:xsd="http://www.w3.org/2001/XMLSchema" xmlns:xs="http://www.w3.org/2001/XMLSchema" xmlns:p="http://schemas.microsoft.com/office/2006/metadata/properties" xmlns:ns2="de46b246-1b1d-49d3-981f-ae7f4a4dac6a" xmlns:ns3="72497645-c6bf-4d3f-a336-8c0f52f79c8e" targetNamespace="http://schemas.microsoft.com/office/2006/metadata/properties" ma:root="true" ma:fieldsID="d042660efd9caf1aa85553c07947031f" ns2:_="" ns3:_="">
    <xsd:import namespace="de46b246-1b1d-49d3-981f-ae7f4a4dac6a"/>
    <xsd:import namespace="72497645-c6bf-4d3f-a336-8c0f52f79c8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6b246-1b1d-49d3-981f-ae7f4a4dac6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f24b3de5-b3b3-4e58-b63f-30f6d7af1a9c}" ma:internalName="TaxCatchAll" ma:showField="CatchAllData" ma:web="de46b246-1b1d-49d3-981f-ae7f4a4dac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97645-c6bf-4d3f-a336-8c0f52f79c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b0fc8bb-af31-4f3b-9c82-5c1d8e397c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310BA7-6367-4C9D-987B-A88C47CB19D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DB477E1-3B98-4319-80CC-3F2D412DEC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D27453-5ADF-4738-ABC3-E4B0844BF968}">
  <ds:schemaRefs>
    <ds:schemaRef ds:uri="http://schemas.microsoft.com/office/2006/metadata/properties"/>
    <ds:schemaRef ds:uri="http://schemas.microsoft.com/office/infopath/2007/PartnerControls"/>
    <ds:schemaRef ds:uri="de46b246-1b1d-49d3-981f-ae7f4a4dac6a"/>
    <ds:schemaRef ds:uri="72497645-c6bf-4d3f-a336-8c0f52f79c8e"/>
  </ds:schemaRefs>
</ds:datastoreItem>
</file>

<file path=customXml/itemProps4.xml><?xml version="1.0" encoding="utf-8"?>
<ds:datastoreItem xmlns:ds="http://schemas.openxmlformats.org/officeDocument/2006/customXml" ds:itemID="{746EE9E0-C017-48B4-9B4F-9662C4CAA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46b246-1b1d-49d3-981f-ae7f4a4dac6a"/>
    <ds:schemaRef ds:uri="72497645-c6bf-4d3f-a336-8c0f52f79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TOC R&amp;E Update 12-31-2022 </vt:lpstr>
      <vt:lpstr>TOC R&amp;E 2022 Budget</vt:lpstr>
      <vt:lpstr>2021 TOC Monthly R&amp;E 12-31-21</vt:lpstr>
      <vt:lpstr>2020 TOC Monthly R&amp;E - NS</vt:lpstr>
      <vt:lpstr>'TOC R&amp;E 2022 Budget'!Print_Area</vt:lpstr>
      <vt:lpstr>'TOC R&amp;E Update 12-31-2022 '!Print_Area</vt:lpstr>
    </vt:vector>
  </TitlesOfParts>
  <Company>UCCR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Shimizu</dc:creator>
  <cp:lastModifiedBy>Lili Liu</cp:lastModifiedBy>
  <cp:lastPrinted>2021-04-21T12:15:29Z</cp:lastPrinted>
  <dcterms:created xsi:type="dcterms:W3CDTF">2017-02-17T20:37:31Z</dcterms:created>
  <dcterms:modified xsi:type="dcterms:W3CDTF">2023-01-31T06:26:24Z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6458400</vt:r8>
  </property>
  <property fmtid="{D5CDD505-2E9C-101B-9397-08002B2CF9AE}" pid="3" name="ContentTypeId">
    <vt:lpwstr>0x0101000609721A19219744919BE73EDFEEFE12</vt:lpwstr>
  </property>
  <property fmtid="{D5CDD505-2E9C-101B-9397-08002B2CF9AE}" pid="4" name="_dlc_DocIdItemGuid">
    <vt:lpwstr>d4b42e11-ba54-4e77-bd82-a8bdd9c0de39</vt:lpwstr>
  </property>
  <property fmtid="{D5CDD505-2E9C-101B-9397-08002B2CF9AE}" pid="5" name="MediaServiceImageTags">
    <vt:lpwstr/>
  </property>
</Properties>
</file>