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d8621f7bb471212/GKC Region/Region 2022/Tall oaks/"/>
    </mc:Choice>
  </mc:AlternateContent>
  <xr:revisionPtr revIDLastSave="0" documentId="8_{BC641F82-2218-4F60-8F9E-40D21265B325}" xr6:coauthVersionLast="47" xr6:coauthVersionMax="47" xr10:uidLastSave="{00000000-0000-0000-0000-000000000000}"/>
  <workbookProtection workbookAlgorithmName="SHA-512" workbookHashValue="d1TOhIgePjHR8BV3RITmE7YNgPh7tjo/S4K6PRRyUcE57tSQFpfSrrs6ihE9o1AA2IP8PO8XSOVOE35rDYbMqw==" workbookSaltValue="pnCjxibHMUbDKrK92yV9Uw==" workbookSpinCount="100000" lockStructure="1"/>
  <bookViews>
    <workbookView xWindow="-120" yWindow="-120" windowWidth="19440" windowHeight="11040" tabRatio="450" xr2:uid="{00000000-000D-0000-FFFF-FFFF00000000}"/>
  </bookViews>
  <sheets>
    <sheet name="TOC Projected R&amp;E Updated 05-22" sheetId="18" r:id="rId1"/>
    <sheet name="TOC Projected R&amp;E Updated 04-22" sheetId="17" r:id="rId2"/>
    <sheet name="TOC R&amp;E Projection FY 2022.1" sheetId="16" state="hidden" r:id="rId3"/>
    <sheet name="TOC R&amp;E Projection 2022" sheetId="14" state="hidden" r:id="rId4"/>
    <sheet name="TOC R&amp;E 2022 Budget" sheetId="11" state="hidden" r:id="rId5"/>
    <sheet name="TOC 2022 Rate" sheetId="9" state="hidden" r:id="rId6"/>
    <sheet name="TOC 2021 Budget - File" sheetId="10" state="hidden" r:id="rId7"/>
    <sheet name="2021 TOC Monthly R&amp;E @ 12-31" sheetId="15" state="hidden" r:id="rId8"/>
    <sheet name="2020 TOC Monthly R&amp;E - NS" sheetId="12" state="hidden" r:id="rId9"/>
    <sheet name="LOD 2018 Accounting R&amp;E - Prel " sheetId="7" state="hidden" r:id="rId10"/>
    <sheet name="LOD 2017 Accounting R&amp;E" sheetId="2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xlnm.Print_Area" localSheetId="0">#REF!</definedName>
    <definedName name="__xlnm.Print_Area">#REF!</definedName>
    <definedName name="__xlnm.Print_Area_1" localSheetId="0">#REF!</definedName>
    <definedName name="__xlnm.Print_Area_1">#REF!</definedName>
    <definedName name="__xlnm.Print_Area_2">"#REF!"</definedName>
    <definedName name="_1Excel_BuiltIn_Print_Area_2">#REF!</definedName>
    <definedName name="_1Excel_BuiltIn_Print_Area_3">#REF!</definedName>
    <definedName name="_2Excel_BuiltIn_Print_Area_3">#REF!</definedName>
    <definedName name="_2Excel_BuiltIn_Print_Area_3_1">"#REF!"</definedName>
    <definedName name="_3Excel_BuiltIn_Print_Area_5">#REF!</definedName>
    <definedName name="_3Excel_BuiltIn_Print_Area_5_1">"#REF!"</definedName>
    <definedName name="_4PRINT_AREA_MI_1">#REF!</definedName>
    <definedName name="_4PRINT_AREA_MI_1_1">"#REF!"</definedName>
    <definedName name="_5PRINT_AREA_MI_1_1">#REF!</definedName>
    <definedName name="_5PRINT_AREA_MI_1_1_1">"#REF!"</definedName>
    <definedName name="_shared_formula" localSheetId="0">+#REF!*#REF!</definedName>
    <definedName name="_shared_formula">+#REF!*#REF!</definedName>
    <definedName name="_Sort" hidden="1">#REF!</definedName>
    <definedName name="a" localSheetId="0">IF((+#REF!+#REF!)=0," ",#REF!/(+#REF!+#REF!))</definedName>
    <definedName name="a">IF((+#REF!+#REF!)=0," ",#REF!/(+#REF!+#REF!))</definedName>
    <definedName name="ASHARED_FORMULA_2_34_2_34_1" localSheetId="0">IF((+#REF!+#REF!)=0," ",#REF!/(+#REF!+#REF!))</definedName>
    <definedName name="ASHARED_FORMULA_2_34_2_34_1">IF((+#REF!+#REF!)=0," ",#REF!/(+#REF!+#REF!))</definedName>
    <definedName name="Excel_BuiltIn_Print_Area">#N/A</definedName>
    <definedName name="Excel_BuiltIn_Print_Area_1">NA()</definedName>
    <definedName name="Excel_BuiltIn_Print_Area_3">#N/A</definedName>
    <definedName name="Excel_BuiltIn_Print_Area_3_1">NA()</definedName>
    <definedName name="Excel_BuiltIn_Print_Area_6">#REF!</definedName>
    <definedName name="Excel_BuiltIn_Print_Area_7">#REF!</definedName>
    <definedName name="Excel_BuiltIn_Print_Area_7_1">"#REF!"</definedName>
    <definedName name="_xlnm.Print_Area" localSheetId="10">'LOD 2017 Accounting R&amp;E'!$A$1:$W$59</definedName>
    <definedName name="_xlnm.Print_Area" localSheetId="6">'TOC 2021 Budget - File'!$A$1:$Q$56</definedName>
    <definedName name="_xlnm.Print_Area" localSheetId="5">'TOC 2022 Rate'!$A$1:$Q$53</definedName>
    <definedName name="_xlnm.Print_Area" localSheetId="1">'TOC Projected R&amp;E Updated 04-22'!$A$1:$Q$59</definedName>
    <definedName name="_xlnm.Print_Area" localSheetId="0">'TOC Projected R&amp;E Updated 05-22'!$A$1:$Q$59</definedName>
    <definedName name="_xlnm.Print_Area" localSheetId="4">'TOC R&amp;E 2022 Budget'!$A$1:$Q$55</definedName>
    <definedName name="_xlnm.Print_Area" localSheetId="3">'TOC R&amp;E Projection 2022'!$A$1:$Q$55</definedName>
    <definedName name="_xlnm.Print_Area" localSheetId="2">'TOC R&amp;E Projection FY 2022.1'!$A$1:$Q$60</definedName>
    <definedName name="_xlnm.Print_Area">#REF!</definedName>
    <definedName name="Print_Area_MI" localSheetId="10">'LOD 2017 Accounting R&amp;E'!$A$1:$O$57</definedName>
    <definedName name="Print_Area_MI">#REF!</definedName>
    <definedName name="Print_Area_MI_1">#REF!</definedName>
    <definedName name="PRINT_AREA_MI_1_1">#REF!</definedName>
    <definedName name="SHARED_FORMULA_2_12_2_12_0">SUM(#REF!)</definedName>
    <definedName name="SHARED_FORMULA_2_12_2_12_0_1">SUM("#REF!)")</definedName>
    <definedName name="SHARED_FORMULA_2_12_2_12_0_2">SUM("#REF!)")</definedName>
    <definedName name="SHARED_FORMULA_2_12_2_12_1">SUM(#REF!)</definedName>
    <definedName name="SHARED_FORMULA_2_12_2_12_1_1">SUM("#REF!)")</definedName>
    <definedName name="SHARED_FORMULA_2_12_2_12_1_2">SUM("#REF!)")</definedName>
    <definedName name="SHARED_FORMULA_2_12_2_12_2">SUM(#REF!)</definedName>
    <definedName name="SHARED_FORMULA_2_12_2_12_2_1">SUM("#REF!)")</definedName>
    <definedName name="SHARED_FORMULA_2_12_2_12_2_2">SUM("#REF!)")</definedName>
    <definedName name="SHARED_FORMULA_2_12_2_12_3">SUM(#REF!)</definedName>
    <definedName name="SHARED_FORMULA_2_12_2_12_3_1">SUM("#REF!)")</definedName>
    <definedName name="SHARED_FORMULA_2_12_2_12_3_2">SUM("#REF!)")</definedName>
    <definedName name="SHARED_FORMULA_2_17_2_17_2">#REF!/51</definedName>
    <definedName name="SHARED_FORMULA_2_17_2_17_2_1">"#REF!/51"</definedName>
    <definedName name="SHARED_FORMULA_2_17_2_17_2_2">"#REF!/51"</definedName>
    <definedName name="SHARED_FORMULA_2_20_2_20_0">IF((+#REF!+#REF!)=0," ",#REF!/(+#REF!+#REF!))</definedName>
    <definedName name="SHARED_FORMULA_2_20_2_20_0_1">IF((+"#REF!+#REF!)=0,"" "",#REF!/(+#REF!+#REF!))"),TRUE)</definedName>
    <definedName name="SHARED_FORMULA_2_20_2_20_0_2">IF((+"#REF!+#REF!)=0,"" "",#REF!/(+#REF!+#REF!))"),TRUE)</definedName>
    <definedName name="SHARED_FORMULA_2_20_2_20_1">IF((+#REF!+#REF!)=0," ",#REF!/(+#REF!+#REF!))</definedName>
    <definedName name="SHARED_FORMULA_2_20_2_20_1_1">IF((+"#REF!+#REF!)=0,"" "",#REF!/(+#REF!+#REF!))"),TRUE)</definedName>
    <definedName name="SHARED_FORMULA_2_20_2_20_1_2">IF((+"#REF!+#REF!)=0,"" "",#REF!/(+#REF!+#REF!))"),TRUE)</definedName>
    <definedName name="SHARED_FORMULA_2_20_2_20_2">IF((+#REF!+#REF!)=0," ",#REF!/(+#REF!+#REF!))</definedName>
    <definedName name="SHARED_FORMULA_2_20_2_20_2_1">IF((+"#REF!+#REF!)=0,"" "",#REF!/(+#REF!+#REF!))"),TRUE)</definedName>
    <definedName name="SHARED_FORMULA_2_20_2_20_2_2">IF((+"#REF!+#REF!)=0,"" "",#REF!/(+#REF!+#REF!))"),TRUE)</definedName>
    <definedName name="SHARED_FORMULA_2_20_2_20_3">IF((+#REF!+#REF!)=0," ",#REF!/(+#REF!+#REF!))</definedName>
    <definedName name="SHARED_FORMULA_2_20_2_20_3_1">IF((+"#REF!+#REF!)=0,"" "",#REF!/(+#REF!+#REF!))"),TRUE)</definedName>
    <definedName name="SHARED_FORMULA_2_20_2_20_3_2">IF((+"#REF!+#REF!)=0,"" "",#REF!/(+#REF!+#REF!))"),TRUE)</definedName>
    <definedName name="SHARED_FORMULA_2_21_2_21_2">(#REF!*0.24)/12</definedName>
    <definedName name="SHARED_FORMULA_2_21_2_21_2_1">("#REF!*0.24)/12")</definedName>
    <definedName name="SHARED_FORMULA_2_21_2_21_2_2">("#REF!*0.24)/12")</definedName>
    <definedName name="SHARED_FORMULA_2_22_2_22_1">IF((+#REF!+#REF!)=0," ",#REF!/(+#REF!+#REF!))</definedName>
    <definedName name="SHARED_FORMULA_2_22_2_22_1_1">IF((+"#REF!+#REF!)=0,"" "",#REF!/(+#REF!+#REF!))"),TRUE)</definedName>
    <definedName name="SHARED_FORMULA_2_22_2_22_1_2">IF((+"#REF!+#REF!)=0,"" "",#REF!/(+#REF!+#REF!))"),TRUE)</definedName>
    <definedName name="SHARED_FORMULA_2_22_2_22_2">IF((+#REF!+#REF!)=0," ",#REF!/(+#REF!+#REF!))</definedName>
    <definedName name="SHARED_FORMULA_2_22_2_22_2_1">IF((+"#REF!+#REF!)=0,"" "",#REF!/(+#REF!+#REF!))"),TRUE)</definedName>
    <definedName name="SHARED_FORMULA_2_22_2_22_2_2">IF((+"#REF!+#REF!)=0,"" "",#REF!/(+#REF!+#REF!))"),TRUE)</definedName>
    <definedName name="SHARED_FORMULA_2_22_2_22_3">IF((+#REF!+#REF!)=0," ",#REF!/(+#REF!+#REF!))</definedName>
    <definedName name="SHARED_FORMULA_2_22_2_22_3_1">IF((+"#REF!+#REF!)=0,"" "",#REF!/(+#REF!+#REF!))"),TRUE)</definedName>
    <definedName name="SHARED_FORMULA_2_22_2_22_3_2">IF((+"#REF!+#REF!)=0,"" "",#REF!/(+#REF!+#REF!))"),TRUE)</definedName>
    <definedName name="Shared_Formula_2_22_2_22_3a">IF((+#REF!+#REF!)=0," ",#REF!/(+#REF!+#REF!))</definedName>
    <definedName name="SHARED_FORMULA_2_24_2_24_0">IF(+#REF!=0," ",#REF!/+#REF!)</definedName>
    <definedName name="SHARED_FORMULA_2_24_2_24_0_1">IF(+"#REF!=0,"" "",#REF!/+#REF!)",TRUE)</definedName>
    <definedName name="SHARED_FORMULA_2_24_2_24_0_2">IF(+"#REF!=0,"" "",#REF!/+#REF!)",TRUE)</definedName>
    <definedName name="SHARED_FORMULA_2_24_2_24_1">IF(+#REF!=0," ",#REF!/+#REF!)</definedName>
    <definedName name="SHARED_FORMULA_2_24_2_24_1_1">IF(+"#REF!=0,"" "",#REF!/+#REF!)",TRUE)</definedName>
    <definedName name="SHARED_FORMULA_2_24_2_24_1_2">IF(+"#REF!=0,"" "",#REF!/+#REF!)",TRUE)</definedName>
    <definedName name="SHARED_FORMULA_2_24_2_24_2">IF(+#REF!=0," ",#REF!/+#REF!)</definedName>
    <definedName name="SHARED_FORMULA_2_24_2_24_2_1">IF(+"#REF!=0,"" "",#REF!/+#REF!)",TRUE)</definedName>
    <definedName name="SHARED_FORMULA_2_24_2_24_2_2">IF(+"#REF!=0,"" "",#REF!/+#REF!)",TRUE)</definedName>
    <definedName name="SHARED_FORMULA_2_24_2_24_3">IF(+#REF!=0," ",#REF!/+#REF!)</definedName>
    <definedName name="SHARED_FORMULA_2_24_2_24_3_1">IF(+"#REF!=0,"" "",#REF!/+#REF!)",TRUE)</definedName>
    <definedName name="SHARED_FORMULA_2_24_2_24_3_2">IF(+"#REF!=0,"" "",#REF!/+#REF!)",TRUE)</definedName>
    <definedName name="SHARED_FORMULA_2_25_2_25_2">23795/12</definedName>
    <definedName name="SHARED_FORMULA_2_26_2_26_0">IF((+#REF!+#REF!)=0," ",#REF!/(+#REF!+#REF!))</definedName>
    <definedName name="SHARED_FORMULA_2_26_2_26_0_1">IF((+"#REF!+#REF!)=0,"" "",#REF!/(+#REF!+#REF!))"),TRUE)</definedName>
    <definedName name="SHARED_FORMULA_2_26_2_26_0_2">IF((+"#REF!+#REF!)=0,"" "",#REF!/(+#REF!+#REF!))"),TRUE)</definedName>
    <definedName name="SHARED_FORMULA_2_26_2_26_1">IF((+#REF!+#REF!)=0," ",#REF!/(+#REF!+#REF!))</definedName>
    <definedName name="SHARED_FORMULA_2_26_2_26_1_1">IF((+"#REF!+#REF!)=0,"" "",#REF!/(+#REF!+#REF!))"),TRUE)</definedName>
    <definedName name="SHARED_FORMULA_2_26_2_26_1_2">IF((+"#REF!+#REF!)=0,"" "",#REF!/(+#REF!+#REF!))"),TRUE)</definedName>
    <definedName name="SHARED_FORMULA_2_26_2_26_2">IF((+#REF!+#REF!)=0," ",#REF!/(+#REF!+#REF!))</definedName>
    <definedName name="SHARED_FORMULA_2_26_2_26_2_1">IF((+"#REF!+#REF!)=0,"" "",#REF!/(+#REF!+#REF!))"),TRUE)</definedName>
    <definedName name="SHARED_FORMULA_2_26_2_26_2_2">IF((+"#REF!+#REF!)=0,"" "",#REF!/(+#REF!+#REF!))"),TRUE)</definedName>
    <definedName name="SHARED_FORMULA_2_26_2_26_3">IF((+#REF!+#REF!)=0," ",#REF!/(+#REF!+#REF!))</definedName>
    <definedName name="SHARED_FORMULA_2_26_2_26_3_1">IF((+"#REF!+#REF!)=0,"" "",#REF!/(+#REF!+#REF!))"),TRUE)</definedName>
    <definedName name="SHARED_FORMULA_2_26_2_26_3_2">IF((+"#REF!+#REF!)=0,"" "",#REF!/(+#REF!+#REF!))"),TRUE)</definedName>
    <definedName name="SHARED_FORMULA_2_28_2_28_0">IF(+#REF!=0," ",#REF!/+#REF!)</definedName>
    <definedName name="SHARED_FORMULA_2_28_2_28_0_1">IF(+"#REF!=0,"" "",#REF!/+#REF!)",TRUE)</definedName>
    <definedName name="SHARED_FORMULA_2_28_2_28_0_2">IF(+"#REF!=0,"" "",#REF!/+#REF!)",TRUE)</definedName>
    <definedName name="SHARED_FORMULA_2_28_2_28_1">IF(+#REF!=0," ",#REF!/+#REF!)</definedName>
    <definedName name="SHARED_FORMULA_2_28_2_28_1_1">IF(+"#REF!=0,"" "",#REF!/+#REF!)",TRUE)</definedName>
    <definedName name="SHARED_FORMULA_2_28_2_28_1_2">IF(+"#REF!=0,"" "",#REF!/+#REF!)",TRUE)</definedName>
    <definedName name="SHARED_FORMULA_2_28_2_28_2">IF(+#REF!=0," ",#REF!/+#REF!)</definedName>
    <definedName name="SHARED_FORMULA_2_28_2_28_2_1">IF(+"#REF!=0,"" "",#REF!/+#REF!)",TRUE)</definedName>
    <definedName name="SHARED_FORMULA_2_28_2_28_2_2">IF(+"#REF!=0,"" "",#REF!/+#REF!)",TRUE)</definedName>
    <definedName name="SHARED_FORMULA_2_28_2_28_3">IF(+#REF!=0," ",#REF!/+#REF!)</definedName>
    <definedName name="SHARED_FORMULA_2_28_2_28_3_1">IF(+"#REF!=0,"" "",#REF!/+#REF!)",TRUE)</definedName>
    <definedName name="SHARED_FORMULA_2_28_2_28_3_2">IF(+"#REF!=0,"" "",#REF!/+#REF!)",TRUE)</definedName>
    <definedName name="SHARED_FORMULA_2_30_2_30_0">IF((+#REF!+#REF!)=0," ",#REF!/(+#REF!+#REF!))</definedName>
    <definedName name="SHARED_FORMULA_2_30_2_30_0_1">IF((+"#REF!+#REF!)=0,"" "",#REF!/(+#REF!+#REF!))"),TRUE)</definedName>
    <definedName name="SHARED_FORMULA_2_30_2_30_0_2">IF((+"#REF!+#REF!)=0,"" "",#REF!/(+#REF!+#REF!))"),TRUE)</definedName>
    <definedName name="SHARED_FORMULA_2_30_2_30_1">IF((+#REF!+#REF!)=0," ",#REF!/(+#REF!+#REF!))</definedName>
    <definedName name="SHARED_FORMULA_2_30_2_30_1_1">IF((+"#REF!+#REF!)=0,"" "",#REF!/(+#REF!+#REF!))"),TRUE)</definedName>
    <definedName name="SHARED_FORMULA_2_30_2_30_1_2">IF((+"#REF!+#REF!)=0,"" "",#REF!/(+#REF!+#REF!))"),TRUE)</definedName>
    <definedName name="SHARED_FORMULA_2_30_2_30_2">IF((+#REF!+#REF!)=0," ",#REF!/(+#REF!+#REF!))</definedName>
    <definedName name="SHARED_FORMULA_2_30_2_30_2_1">IF((+"#REF!+#REF!)=0,"" "",#REF!/(+#REF!+#REF!))"),TRUE)</definedName>
    <definedName name="SHARED_FORMULA_2_30_2_30_2_2">IF((+"#REF!+#REF!)=0,"" "",#REF!/(+#REF!+#REF!))"),TRUE)</definedName>
    <definedName name="SHARED_FORMULA_2_30_2_30_3">IF((+#REF!+#REF!)=0," ",#REF!/(+#REF!+#REF!))</definedName>
    <definedName name="SHARED_FORMULA_2_30_2_30_3_1">IF((+"#REF!+#REF!)=0,"" "",#REF!/(+#REF!+#REF!))"),TRUE)</definedName>
    <definedName name="SHARED_FORMULA_2_30_2_30_3_2">IF((+"#REF!+#REF!)=0,"" "",#REF!/(+#REF!+#REF!))"),TRUE)</definedName>
    <definedName name="SHARED_FORMULA_2_32_2_32_0">IF((+#REF!+#REF!)=0," ",#REF!/(+#REF!+#REF!))</definedName>
    <definedName name="SHARED_FORMULA_2_32_2_32_0_1">IF((+"#REF!+#REF!)=0,"" "",#REF!/(+#REF!+#REF!))"),TRUE)</definedName>
    <definedName name="SHARED_FORMULA_2_32_2_32_0_2">IF((+"#REF!+#REF!)=0,"" "",#REF!/(+#REF!+#REF!))"),TRUE)</definedName>
    <definedName name="SHARED_FORMULA_2_32_2_32_1">IF((+#REF!+#REF!)=0," ",#REF!/(+#REF!+#REF!))</definedName>
    <definedName name="SHARED_FORMULA_2_32_2_32_1_1">IF((+"#REF!+#REF!)=0,"" "",#REF!/(+#REF!+#REF!))"),TRUE)</definedName>
    <definedName name="SHARED_FORMULA_2_32_2_32_1_2">IF((+"#REF!+#REF!)=0,"" "",#REF!/(+#REF!+#REF!))"),TRUE)</definedName>
    <definedName name="SHARED_FORMULA_2_32_2_32_2">IF((+#REF!+#REF!)=0," ",#REF!/(+#REF!+#REF!))</definedName>
    <definedName name="SHARED_FORMULA_2_32_2_32_2_1">IF((+"#REF!+#REF!)=0,"" "",#REF!/(+#REF!+#REF!))"),TRUE)</definedName>
    <definedName name="SHARED_FORMULA_2_32_2_32_2_2">IF((+"#REF!+#REF!)=0,"" "",#REF!/(+#REF!+#REF!))"),TRUE)</definedName>
    <definedName name="SHARED_FORMULA_2_32_2_32_3">IF((+#REF!+#REF!)=0," ",#REF!/(+#REF!+#REF!))</definedName>
    <definedName name="SHARED_FORMULA_2_32_2_32_3_1">IF((+"#REF!+#REF!)=0,"" "",#REF!/(+#REF!+#REF!))"),TRUE)</definedName>
    <definedName name="SHARED_FORMULA_2_32_2_32_3_2">IF((+"#REF!+#REF!)=0,"" "",#REF!/(+#REF!+#REF!))"),TRUE)</definedName>
    <definedName name="SHARED_FORMULA_2_34_2_34_0">IF((+#REF!+#REF!)=0," ",#REF!/(+#REF!+#REF!))</definedName>
    <definedName name="SHARED_FORMULA_2_34_2_34_0_1">IF((+"#REF!+#REF!)=0,"" "",#REF!/(+#REF!+#REF!))"),TRUE)</definedName>
    <definedName name="SHARED_FORMULA_2_34_2_34_0_2">IF((+"#REF!+#REF!)=0,"" "",#REF!/(+#REF!+#REF!))"),TRUE)</definedName>
    <definedName name="SHARED_FORMULA_2_34_2_34_1">IF((+#REF!+#REF!)=0," ",#REF!/(+#REF!+#REF!))</definedName>
    <definedName name="SHARED_FORMULA_2_34_2_34_1_1">IF((+"#REF!+#REF!)=0,"" "",#REF!/(+#REF!+#REF!))"),TRUE)</definedName>
    <definedName name="SHARED_FORMULA_2_34_2_34_1_2">IF((+"#REF!+#REF!)=0,"" "",#REF!/(+#REF!+#REF!))"),TRUE)</definedName>
    <definedName name="SHARED_FORMULA_2_34_2_34_2">IF((+#REF!+#REF!)=0," ",#REF!/(+#REF!+#REF!))</definedName>
    <definedName name="SHARED_FORMULA_2_34_2_34_2_1">IF((+"#REF!+#REF!)=0,"" "",#REF!/(+#REF!+#REF!))"),TRUE)</definedName>
    <definedName name="SHARED_FORMULA_2_34_2_34_2_2">IF((+"#REF!+#REF!)=0,"" "",#REF!/(+#REF!+#REF!))"),TRUE)</definedName>
    <definedName name="SHARED_FORMULA_2_34_2_34_3">IF((+#REF!+#REF!)=0," ",#REF!/(+#REF!+#REF!))</definedName>
    <definedName name="SHARED_FORMULA_2_34_2_34_3_1">IF((+"#REF!+#REF!)=0,"" "",#REF!/(+#REF!+#REF!))"),TRUE)</definedName>
    <definedName name="SHARED_FORMULA_2_34_2_34_3_2">IF((+"#REF!+#REF!)=0,"" "",#REF!/(+#REF!+#REF!))"),TRUE)</definedName>
    <definedName name="SHARED_FORMULA_2_35_2_35_2">14328/12</definedName>
    <definedName name="SHARED_FORMULA_2_36_2_36_0">IF((+#REF!+#REF!)=0," ",#REF!/(+#REF!+#REF!))</definedName>
    <definedName name="SHARED_FORMULA_2_36_2_36_0_1">IF((+"#REF!+#REF!)=0,"" "",#REF!/(+#REF!+#REF!))"),TRUE)</definedName>
    <definedName name="SHARED_FORMULA_2_36_2_36_0_2">IF((+"#REF!+#REF!)=0,"" "",#REF!/(+#REF!+#REF!))"),TRUE)</definedName>
    <definedName name="SHARED_FORMULA_2_36_2_36_1">IF((+#REF!+#REF!)=0," ",#REF!/(+#REF!+#REF!))</definedName>
    <definedName name="SHARED_FORMULA_2_36_2_36_1_1">IF((+"#REF!+#REF!)=0,"" "",#REF!/(+#REF!+#REF!))"),TRUE)</definedName>
    <definedName name="SHARED_FORMULA_2_36_2_36_1_2">IF((+"#REF!+#REF!)=0,"" "",#REF!/(+#REF!+#REF!))"),TRUE)</definedName>
    <definedName name="SHARED_FORMULA_2_36_2_36_2">IF((+#REF!+#REF!)=0," ",#REF!/(+#REF!+#REF!))</definedName>
    <definedName name="SHARED_FORMULA_2_36_2_36_2_1">IF((+"#REF!+#REF!)=0,"" "",#REF!/(+#REF!+#REF!))"),TRUE)</definedName>
    <definedName name="SHARED_FORMULA_2_36_2_36_2_2">IF((+"#REF!+#REF!)=0,"" "",#REF!/(+#REF!+#REF!))"),TRUE)</definedName>
    <definedName name="SHARED_FORMULA_2_36_2_36_3">IF((+#REF!+#REF!)=0," ",#REF!/(+#REF!+#REF!))</definedName>
    <definedName name="SHARED_FORMULA_2_36_2_36_3_1">IF((+"#REF!+#REF!)=0,"" "",#REF!/(+#REF!+#REF!))"),TRUE)</definedName>
    <definedName name="SHARED_FORMULA_2_36_2_36_3_2">IF((+"#REF!+#REF!)=0,"" "",#REF!/(+#REF!+#REF!))"),TRUE)</definedName>
    <definedName name="SHARED_FORMULA_2_37_2_37_2">+#REF!*#REF!</definedName>
    <definedName name="SHARED_FORMULA_2_37_2_37_2_1">+"#REF!*#REF!"</definedName>
    <definedName name="SHARED_FORMULA_2_37_2_37_2_2">+"#REF!*#REF!"</definedName>
    <definedName name="SHARED_FORMULA_2_38_2_38_0">IF((+#REF!+#REF!)=0," ",#REF!/(+#REF!+#REF!))</definedName>
    <definedName name="SHARED_FORMULA_2_38_2_38_0_1">IF((+"#REF!+#REF!)=0,"" "",#REF!/(+#REF!+#REF!))"),TRUE)</definedName>
    <definedName name="SHARED_FORMULA_2_38_2_38_0_2">IF((+"#REF!+#REF!)=0,"" "",#REF!/(+#REF!+#REF!))"),TRUE)</definedName>
    <definedName name="SHARED_FORMULA_2_38_2_38_1">IF((+#REF!+#REF!)=0," ",#REF!/(+#REF!+#REF!))</definedName>
    <definedName name="SHARED_FORMULA_2_38_2_38_1_1">IF((+"#REF!+#REF!)=0,"" "",#REF!/(+#REF!+#REF!))"),TRUE)</definedName>
    <definedName name="SHARED_FORMULA_2_38_2_38_1_2">IF((+"#REF!+#REF!)=0,"" "",#REF!/(+#REF!+#REF!))"),TRUE)</definedName>
    <definedName name="SHARED_FORMULA_2_38_2_38_2">IF((+#REF!+#REF!)=0," ",#REF!/(+#REF!+#REF!))</definedName>
    <definedName name="SHARED_FORMULA_2_38_2_38_2_1">IF((+"#REF!+#REF!)=0,"" "",#REF!/(+#REF!+#REF!))"),TRUE)</definedName>
    <definedName name="SHARED_FORMULA_2_38_2_38_2_2">IF((+"#REF!+#REF!)=0,"" "",#REF!/(+#REF!+#REF!))"),TRUE)</definedName>
    <definedName name="SHARED_FORMULA_2_38_2_38_3">IF((+#REF!+#REF!)=0," ",#REF!/(+#REF!+#REF!))</definedName>
    <definedName name="SHARED_FORMULA_2_38_2_38_3_1">IF((+"#REF!+#REF!)=0,"" "",#REF!/(+#REF!+#REF!))"),TRUE)</definedName>
    <definedName name="SHARED_FORMULA_2_38_2_38_3_2">IF((+"#REF!+#REF!)=0,"" "",#REF!/(+#REF!+#REF!))"),TRUE)</definedName>
    <definedName name="SHARED_FORMULA_2_40_2_40_0">IF((+#REF!+#REF!)=0," ",#REF!/(+#REF!+#REF!))</definedName>
    <definedName name="SHARED_FORMULA_2_40_2_40_0_1">IF((+"#REF!+#REF!)=0,"" "",#REF!/(+#REF!+#REF!))"),TRUE)</definedName>
    <definedName name="SHARED_FORMULA_2_40_2_40_0_2">IF((+"#REF!+#REF!)=0,"" "",#REF!/(+#REF!+#REF!))"),TRUE)</definedName>
    <definedName name="SHARED_FORMULA_2_40_2_40_1">IF((+#REF!+#REF!)=0," ",#REF!/(+#REF!+#REF!))</definedName>
    <definedName name="SHARED_FORMULA_2_40_2_40_1_1">IF((+"#REF!+#REF!)=0,"" "",#REF!/(+#REF!+#REF!))"),TRUE)</definedName>
    <definedName name="SHARED_FORMULA_2_40_2_40_1_2">IF((+"#REF!+#REF!)=0,"" "",#REF!/(+#REF!+#REF!))"),TRUE)</definedName>
    <definedName name="SHARED_FORMULA_2_40_2_40_2">IF((+#REF!+#REF!)=0," ",#REF!/(+#REF!+#REF!))</definedName>
    <definedName name="SHARED_FORMULA_2_40_2_40_2_1">IF((+"#REF!+#REF!)=0,"" "",#REF!/(+#REF!+#REF!))"),TRUE)</definedName>
    <definedName name="SHARED_FORMULA_2_40_2_40_2_2">IF((+"#REF!+#REF!)=0,"" "",#REF!/(+#REF!+#REF!))"),TRUE)</definedName>
    <definedName name="SHARED_FORMULA_2_40_2_40_3">IF((+#REF!+#REF!)=0," ",#REF!/(+#REF!+#REF!))</definedName>
    <definedName name="SHARED_FORMULA_2_40_2_40_3_1">IF((+"#REF!+#REF!)=0,"" "",#REF!/(+#REF!+#REF!))"),TRUE)</definedName>
    <definedName name="SHARED_FORMULA_2_40_2_40_3_2">IF((+"#REF!+#REF!)=0,"" "",#REF!/(+#REF!+#REF!))"),TRUE)</definedName>
    <definedName name="SHARED_FORMULA_2_42_2_42_0">IF((+#REF!+#REF!)=0," ",#REF!/(+#REF!+#REF!))</definedName>
    <definedName name="SHARED_FORMULA_2_42_2_42_0_1">IF((+"#REF!+#REF!)=0,"" "",#REF!/(+#REF!+#REF!))"),TRUE)</definedName>
    <definedName name="SHARED_FORMULA_2_42_2_42_0_2">IF((+"#REF!+#REF!)=0,"" "",#REF!/(+#REF!+#REF!))"),TRUE)</definedName>
    <definedName name="SHARED_FORMULA_2_42_2_42_1">IF((+#REF!+#REF!)=0," ",#REF!/(+#REF!+#REF!))</definedName>
    <definedName name="SHARED_FORMULA_2_42_2_42_1_1">IF((+"#REF!+#REF!)=0,"" "",#REF!/(+#REF!+#REF!))"),TRUE)</definedName>
    <definedName name="SHARED_FORMULA_2_42_2_42_1_2">IF((+"#REF!+#REF!)=0,"" "",#REF!/(+#REF!+#REF!))"),TRUE)</definedName>
    <definedName name="SHARED_FORMULA_2_42_2_42_2">IF((+#REF!+#REF!)=0," ",#REF!/(+#REF!+#REF!))</definedName>
    <definedName name="SHARED_FORMULA_2_42_2_42_2_1">IF((+"#REF!+#REF!)=0,"" "",#REF!/(+#REF!+#REF!))"),TRUE)</definedName>
    <definedName name="SHARED_FORMULA_2_42_2_42_2_2">IF((+"#REF!+#REF!)=0,"" "",#REF!/(+#REF!+#REF!))"),TRUE)</definedName>
    <definedName name="SHARED_FORMULA_2_42_2_42_3">IF((+#REF!+#REF!)=0," ",#REF!/(+#REF!+#REF!))</definedName>
    <definedName name="SHARED_FORMULA_2_42_2_42_3_1">IF((+"#REF!+#REF!)=0,"" "",#REF!/(+#REF!+#REF!))"),TRUE)</definedName>
    <definedName name="SHARED_FORMULA_2_42_2_42_3_2">IF((+"#REF!+#REF!)=0,"" "",#REF!/(+#REF!+#REF!))"),TRUE)</definedName>
    <definedName name="SHARED_FORMULA_2_44_2_44_0">IF((+#REF!+#REF!)=0," ",#REF!/(+#REF!+#REF!))</definedName>
    <definedName name="SHARED_FORMULA_2_44_2_44_0_1">IF((+"#REF!+#REF!)=0,"" "",#REF!/(+#REF!+#REF!))"),TRUE)</definedName>
    <definedName name="SHARED_FORMULA_2_44_2_44_0_2">IF((+"#REF!+#REF!)=0,"" "",#REF!/(+#REF!+#REF!))"),TRUE)</definedName>
    <definedName name="SHARED_FORMULA_2_44_2_44_1">IF((+#REF!+#REF!)=0," ",#REF!/(+#REF!+#REF!))</definedName>
    <definedName name="SHARED_FORMULA_2_44_2_44_1_1">IF((+"#REF!+#REF!)=0,"" "",#REF!/(+#REF!+#REF!))"),TRUE)</definedName>
    <definedName name="SHARED_FORMULA_2_44_2_44_1_2">IF((+"#REF!+#REF!)=0,"" "",#REF!/(+#REF!+#REF!))"),TRUE)</definedName>
    <definedName name="SHARED_FORMULA_2_44_2_44_2">IF((+#REF!+#REF!)=0," ",#REF!/(+#REF!+#REF!))</definedName>
    <definedName name="SHARED_FORMULA_2_44_2_44_2_1">IF((+"#REF!+#REF!)=0,"" "",#REF!/(+#REF!+#REF!))"),TRUE)</definedName>
    <definedName name="SHARED_FORMULA_2_44_2_44_2_2">IF((+"#REF!+#REF!)=0,"" "",#REF!/(+#REF!+#REF!))"),TRUE)</definedName>
    <definedName name="SHARED_FORMULA_2_44_2_44_3">IF((+#REF!+#REF!)=0," ",#REF!/(+#REF!+#REF!))</definedName>
    <definedName name="SHARED_FORMULA_2_44_2_44_3_1">IF((+"#REF!+#REF!)=0,"" "",#REF!/(+#REF!+#REF!))"),TRUE)</definedName>
    <definedName name="SHARED_FORMULA_2_44_2_44_3_2">IF((+"#REF!+#REF!)=0,"" "",#REF!/(+#REF!+#REF!))"),TRUE)</definedName>
    <definedName name="SHARED_FORMULA_2_46_2_46_0">IF((+#REF!+#REF!)=0," ",#REF!/(+#REF!+#REF!))</definedName>
    <definedName name="SHARED_FORMULA_2_46_2_46_0_1">IF((+"#REF!+#REF!)=0,"" "",#REF!/(+#REF!+#REF!))"),TRUE)</definedName>
    <definedName name="SHARED_FORMULA_2_46_2_46_0_2">IF((+"#REF!+#REF!)=0,"" "",#REF!/(+#REF!+#REF!))"),TRUE)</definedName>
    <definedName name="SHARED_FORMULA_2_46_2_46_1">IF((+#REF!+#REF!)=0," ",#REF!/(+#REF!+#REF!))</definedName>
    <definedName name="SHARED_FORMULA_2_46_2_46_1_1">IF((+"#REF!+#REF!)=0,"" "",#REF!/(+#REF!+#REF!))"),TRUE)</definedName>
    <definedName name="SHARED_FORMULA_2_46_2_46_1_2">IF((+"#REF!+#REF!)=0,"" "",#REF!/(+#REF!+#REF!))"),TRUE)</definedName>
    <definedName name="SHARED_FORMULA_2_46_2_46_2">IF((+#REF!+#REF!)=0," ",#REF!/(+#REF!+#REF!))</definedName>
    <definedName name="SHARED_FORMULA_2_46_2_46_2_1">IF((+"#REF!+#REF!)=0,"" "",#REF!/(+#REF!+#REF!))"),TRUE)</definedName>
    <definedName name="SHARED_FORMULA_2_46_2_46_2_2">IF((+"#REF!+#REF!)=0,"" "",#REF!/(+#REF!+#REF!))"),TRUE)</definedName>
    <definedName name="SHARED_FORMULA_2_46_2_46_3">IF((+#REF!+#REF!)=0," ",#REF!/(+#REF!+#REF!))</definedName>
    <definedName name="SHARED_FORMULA_2_46_2_46_3_1">IF((+"#REF!+#REF!)=0,"" "",#REF!/(+#REF!+#REF!))"),TRUE)</definedName>
    <definedName name="SHARED_FORMULA_2_46_2_46_3_2">IF((+"#REF!+#REF!)=0,"" "",#REF!/(+#REF!+#REF!))"),TRUE)</definedName>
    <definedName name="SHARED_FORMULA_2_48_2_48_0">IF((+#REF!+#REF!)=0," ",#REF!/(+#REF!+#REF!))</definedName>
    <definedName name="SHARED_FORMULA_2_48_2_48_0_1">IF((+"#REF!+#REF!)=0,"" "",#REF!/(+#REF!+#REF!))"),TRUE)</definedName>
    <definedName name="SHARED_FORMULA_2_48_2_48_0_2">IF((+"#REF!+#REF!)=0,"" "",#REF!/(+#REF!+#REF!))"),TRUE)</definedName>
    <definedName name="SHARED_FORMULA_2_48_2_48_1">IF((+#REF!+#REF!)=0," ",#REF!/(+#REF!+#REF!))</definedName>
    <definedName name="SHARED_FORMULA_2_48_2_48_1_1">IF((+"#REF!+#REF!)=0,"" "",#REF!/(+#REF!+#REF!))"),TRUE)</definedName>
    <definedName name="SHARED_FORMULA_2_48_2_48_1_2">IF((+"#REF!+#REF!)=0,"" "",#REF!/(+#REF!+#REF!))"),TRUE)</definedName>
    <definedName name="SHARED_FORMULA_2_48_2_48_2">IF((+#REF!+#REF!)=0," ",#REF!/(+#REF!+#REF!))</definedName>
    <definedName name="SHARED_FORMULA_2_48_2_48_2_1">IF((+"#REF!+#REF!)=0,"" "",#REF!/(+#REF!+#REF!))"),TRUE)</definedName>
    <definedName name="SHARED_FORMULA_2_48_2_48_2_2">IF((+"#REF!+#REF!)=0,"" "",#REF!/(+#REF!+#REF!))"),TRUE)</definedName>
    <definedName name="SHARED_FORMULA_2_48_2_48_3">IF((+#REF!+#REF!)=0," ",#REF!/(+#REF!+#REF!))</definedName>
    <definedName name="SHARED_FORMULA_2_48_2_48_3_1">IF((+"#REF!+#REF!)=0,"" "",#REF!/(+#REF!+#REF!))"),TRUE)</definedName>
    <definedName name="SHARED_FORMULA_2_48_2_48_3_2">IF((+"#REF!+#REF!)=0,"" "",#REF!/(+#REF!+#REF!))"),TRUE)</definedName>
    <definedName name="SHARED_FORMULA_2_50_2_50_0">IF((+#REF!+#REF!)=0," ",#REF!/(+#REF!+#REF!))</definedName>
    <definedName name="SHARED_FORMULA_2_50_2_50_0_1">IF((+"#REF!+#REF!)=0,"" "",#REF!/(+#REF!+#REF!))"),TRUE)</definedName>
    <definedName name="SHARED_FORMULA_2_50_2_50_0_2">IF((+"#REF!+#REF!)=0,"" "",#REF!/(+#REF!+#REF!))"),TRUE)</definedName>
    <definedName name="SHARED_FORMULA_2_50_2_50_1">IF((+#REF!+#REF!)=0," ",#REF!/(+#REF!+#REF!))</definedName>
    <definedName name="SHARED_FORMULA_2_50_2_50_1_1">IF((+"#REF!+#REF!)=0,"" "",#REF!/(+#REF!+#REF!))"),TRUE)</definedName>
    <definedName name="SHARED_FORMULA_2_50_2_50_1_2">IF((+"#REF!+#REF!)=0,"" "",#REF!/(+#REF!+#REF!))"),TRUE)</definedName>
    <definedName name="SHARED_FORMULA_2_50_2_50_2">IF((+#REF!+#REF!)=0," ",#REF!/(+#REF!+#REF!))</definedName>
    <definedName name="SHARED_FORMULA_2_50_2_50_2_1">IF((+"#REF!+#REF!)=0,"" "",#REF!/(+#REF!+#REF!))"),TRUE)</definedName>
    <definedName name="SHARED_FORMULA_2_50_2_50_2_2">IF((+"#REF!+#REF!)=0,"" "",#REF!/(+#REF!+#REF!))"),TRUE)</definedName>
    <definedName name="SHARED_FORMULA_2_50_2_50_3">IF((+#REF!+#REF!)=0," ",#REF!/(+#REF!+#REF!))</definedName>
    <definedName name="SHARED_FORMULA_2_50_2_50_3_1">IF((+"#REF!+#REF!)=0,"" "",#REF!/(+#REF!+#REF!))"),TRUE)</definedName>
    <definedName name="SHARED_FORMULA_2_50_2_50_3_2">IF((+"#REF!+#REF!)=0,"" "",#REF!/(+#REF!+#REF!))"),TRUE)</definedName>
    <definedName name="SHARED_FORMULA_2_53_2_53_0">+#REF!+#REF!+#REF!+#REF!+#REF!+#REF!+#REF!+#REF!+#REF!+#REF!+#REF!+#REF!+#REF!+#REF!+#REF!+#REF!</definedName>
    <definedName name="SHARED_FORMULA_2_53_2_53_0_1">+"#REF!+#REF!+#REF!+#REF!+#REF!+#REF!+#REF!+#REF!+#REF!+#REF!+#REF!+#REF!+#REF!+#REF!+#REF!+#REF!"</definedName>
    <definedName name="SHARED_FORMULA_2_53_2_53_0_2">+"#REF!+#REF!+#REF!+#REF!+#REF!+#REF!+#REF!+#REF!+#REF!+#REF!+#REF!+#REF!+#REF!+#REF!+#REF!+#REF!"</definedName>
    <definedName name="SHARED_FORMULA_2_53_2_53_1">+#REF!+#REF!+#REF!+#REF!+#REF!+#REF!+#REF!+#REF!+#REF!+#REF!+#REF!+#REF!+#REF!+#REF!+#REF!+#REF!</definedName>
    <definedName name="SHARED_FORMULA_2_53_2_53_1_1">+"#REF!+#REF!+#REF!+#REF!+#REF!+#REF!+#REF!+#REF!+#REF!+#REF!+#REF!+#REF!+#REF!+#REF!+#REF!+#REF!"</definedName>
    <definedName name="SHARED_FORMULA_2_53_2_53_1_2">+"#REF!+#REF!+#REF!+#REF!+#REF!+#REF!+#REF!+#REF!+#REF!+#REF!+#REF!+#REF!+#REF!+#REF!+#REF!+#REF!"</definedName>
    <definedName name="SHARED_FORMULA_2_53_2_53_2">+#REF!+#REF!+#REF!+#REF!+#REF!+#REF!+#REF!+#REF!+#REF!+#REF!+#REF!+#REF!+#REF!+#REF!+#REF!+#REF!</definedName>
    <definedName name="SHARED_FORMULA_2_53_2_53_2_1">+"#REF!+#REF!+#REF!+#REF!+#REF!+#REF!+#REF!+#REF!+#REF!+#REF!+#REF!+#REF!+#REF!+#REF!+#REF!+#REF!"</definedName>
    <definedName name="SHARED_FORMULA_2_53_2_53_2_2">+"#REF!+#REF!+#REF!+#REF!+#REF!+#REF!+#REF!+#REF!+#REF!+#REF!+#REF!+#REF!+#REF!+#REF!+#REF!+#REF!"</definedName>
    <definedName name="SHARED_FORMULA_2_53_2_53_3">+#REF!+#REF!+#REF!+#REF!+#REF!+#REF!+#REF!+#REF!+#REF!+#REF!+#REF!+#REF!+#REF!+#REF!+#REF!+#REF!</definedName>
    <definedName name="SHARED_FORMULA_2_53_2_53_3_1">+"#REF!+#REF!+#REF!+#REF!+#REF!+#REF!+#REF!+#REF!+#REF!+#REF!+#REF!+#REF!+#REF!+#REF!+#REF!+#REF!"</definedName>
    <definedName name="SHARED_FORMULA_2_53_2_53_3_2">+"#REF!+#REF!+#REF!+#REF!+#REF!+#REF!+#REF!+#REF!+#REF!+#REF!+#REF!+#REF!+#REF!+#REF!+#REF!+#REF!"</definedName>
    <definedName name="SHARED_FORMULA_2_55_2_55_0">+#REF!-#REF!</definedName>
    <definedName name="SHARED_FORMULA_2_55_2_55_0_1">+"#REF!-#REF!"</definedName>
    <definedName name="SHARED_FORMULA_2_55_2_55_0_2">+"#REF!-#REF!"</definedName>
    <definedName name="SHARED_FORMULA_2_55_2_55_1">+#REF!-#REF!</definedName>
    <definedName name="SHARED_FORMULA_2_55_2_55_1_1">+"#REF!-#REF!"</definedName>
    <definedName name="SHARED_FORMULA_2_55_2_55_1_2">+"#REF!-#REF!"</definedName>
    <definedName name="SHARED_FORMULA_2_55_2_55_2">+#REF!-#REF!</definedName>
    <definedName name="SHARED_FORMULA_2_55_2_55_2_1">+"#REF!-#REF!"</definedName>
    <definedName name="SHARED_FORMULA_2_55_2_55_2_2">+"#REF!-#REF!"</definedName>
    <definedName name="SHARED_FORMULA_2_55_2_55_3">+#REF!-#REF!</definedName>
    <definedName name="SHARED_FORMULA_2_55_2_55_3_1">+"#REF!-#REF!"</definedName>
    <definedName name="SHARED_FORMULA_2_55_2_55_3_2">+"#REF!-#REF!"</definedName>
    <definedName name="SHARED_FORMULA_2_75_2_75_0">+#REF!/#REF!</definedName>
    <definedName name="SHARED_FORMULA_2_75_2_75_0_1">+"#REF!/#REF!"</definedName>
    <definedName name="SHARED_FORMULA_2_75_2_75_0_2">+"#REF!/#REF!"</definedName>
    <definedName name="SHARED_FORMULA_2_75_2_75_1">+#REF!/#REF!</definedName>
    <definedName name="SHARED_FORMULA_2_75_2_75_1_1">+"#REF!/#REF!"</definedName>
    <definedName name="SHARED_FORMULA_2_75_2_75_1_2">+"#REF!/#REF!"</definedName>
    <definedName name="SHARED_FORMULA_2_75_2_75_2">+#REF!/#REF!</definedName>
    <definedName name="SHARED_FORMULA_2_75_2_75_2_1">+"#REF!/#REF!"</definedName>
    <definedName name="SHARED_FORMULA_2_75_2_75_2_2">+"#REF!/#REF!"</definedName>
    <definedName name="SHARED_FORMULA_2_75_2_75_3">+#REF!/#REF!</definedName>
    <definedName name="SHARED_FORMULA_2_75_2_75_3_1">+"#REF!/#REF!"</definedName>
    <definedName name="SHARED_FORMULA_2_75_2_75_3_2">+"#REF!/#REF!"</definedName>
    <definedName name="SHARED_FORMULA_3_14_3_14_2">+#REF!</definedName>
    <definedName name="SHARED_FORMULA_3_14_3_14_2_1">+"#REF!"</definedName>
    <definedName name="SHARED_FORMULA_3_14_3_14_2_2">+"#REF!"</definedName>
    <definedName name="SHARED_FORMULA_3_37_3_37_1">+#REF!*#REF!</definedName>
    <definedName name="SHARED_FORMULA_3_37_3_37_1_1">+"#REF!*#REF!"</definedName>
    <definedName name="SHARED_FORMULA_3_37_3_37_1_2">+"#REF!*#REF!"</definedName>
    <definedName name="SHARED_FORMULA_4_57_4_57_0">+#REF!+#REF!</definedName>
    <definedName name="SHARED_FORMULA_4_57_4_57_0_1">+"#REF!+#REF!"</definedName>
    <definedName name="SHARED_FORMULA_4_57_4_57_0_2">+"#REF!+#REF!"</definedName>
    <definedName name="SHARED_FORMULA_4_57_4_57_1">+#REF!+#REF!</definedName>
    <definedName name="SHARED_FORMULA_4_57_4_57_1_1">+"#REF!+#REF!"</definedName>
    <definedName name="SHARED_FORMULA_4_57_4_57_1_2">+"#REF!+#REF!"</definedName>
    <definedName name="SHARED_FORMULA_4_57_4_57_2">+#REF!+#REF!</definedName>
    <definedName name="SHARED_FORMULA_4_57_4_57_2_1">+"#REF!+#REF!"</definedName>
    <definedName name="SHARED_FORMULA_4_57_4_57_2_2">+"#REF!+#REF!"</definedName>
    <definedName name="SHARED_FORMULA_4_57_4_57_3">+#REF!+#REF!</definedName>
    <definedName name="SHARED_FORMULA_4_57_4_57_3_1">+"#REF!+#REF!"</definedName>
    <definedName name="SHARED_FORMULA_4_57_4_57_3_2">+"#REF!+#REF!"</definedName>
    <definedName name="SHARED_FORMULA_5_22_5_22_0">IF((+#REF!+#REF!)=0," ",#REF!/(+#REF!+#REF!))</definedName>
    <definedName name="SHARED_FORMULA_5_22_5_22_0_1">IF((+"#REF!+#REF!)=0,"" "",#REF!/(+#REF!+#REF!))"),TRUE)</definedName>
    <definedName name="SHARED_FORMULA_5_22_5_22_0_2">IF((+"#REF!+#REF!)=0,"" "",#REF!/(+#REF!+#REF!))"),TRUE)</definedName>
    <definedName name="SHARED_FORMULA_8_37_8_37_3">+#REF!*#REF!</definedName>
    <definedName name="SHARED_FORMULA_8_37_8_37_3_1">+"#REF!*#REF!"</definedName>
    <definedName name="SHARED_FORMULA_8_37_8_37_3_2">+"#REF!*#REF!"</definedName>
  </definedName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7" i="18" l="1"/>
  <c r="Q53" i="18" l="1"/>
  <c r="S49" i="18"/>
  <c r="D49" i="18" l="1"/>
  <c r="M47" i="18"/>
  <c r="M46" i="18" s="1"/>
  <c r="L47" i="18"/>
  <c r="L46" i="18" s="1"/>
  <c r="O46" i="18"/>
  <c r="N46" i="18"/>
  <c r="K46" i="18"/>
  <c r="J46" i="18"/>
  <c r="I46" i="18"/>
  <c r="H46" i="18"/>
  <c r="G46" i="18"/>
  <c r="F46" i="18"/>
  <c r="E46" i="18"/>
  <c r="D46" i="18"/>
  <c r="E45" i="18"/>
  <c r="F45" i="18" s="1"/>
  <c r="D44" i="18"/>
  <c r="J43" i="18"/>
  <c r="J42" i="18" s="1"/>
  <c r="H43" i="18"/>
  <c r="O42" i="18"/>
  <c r="N42" i="18"/>
  <c r="M42" i="18"/>
  <c r="L42" i="18"/>
  <c r="K42" i="18"/>
  <c r="I42" i="18"/>
  <c r="G42" i="18"/>
  <c r="F42" i="18"/>
  <c r="E42" i="18"/>
  <c r="D42" i="18"/>
  <c r="Q41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Q39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Q37" i="18"/>
  <c r="S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Q35" i="18"/>
  <c r="S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F33" i="18"/>
  <c r="F32" i="18" s="1"/>
  <c r="S32" i="18"/>
  <c r="S30" i="18" s="1"/>
  <c r="E32" i="18"/>
  <c r="D32" i="18"/>
  <c r="Q31" i="18"/>
  <c r="O30" i="18"/>
  <c r="N30" i="18"/>
  <c r="M30" i="18"/>
  <c r="L30" i="18"/>
  <c r="K30" i="18"/>
  <c r="J30" i="18"/>
  <c r="H30" i="18"/>
  <c r="G30" i="18"/>
  <c r="F30" i="18"/>
  <c r="E30" i="18"/>
  <c r="D30" i="18"/>
  <c r="L29" i="18"/>
  <c r="Q29" i="18" s="1"/>
  <c r="O28" i="18"/>
  <c r="N28" i="18"/>
  <c r="M28" i="18"/>
  <c r="K28" i="18"/>
  <c r="J28" i="18"/>
  <c r="I28" i="18"/>
  <c r="H28" i="18"/>
  <c r="G28" i="18"/>
  <c r="F28" i="18"/>
  <c r="E28" i="18"/>
  <c r="D28" i="18"/>
  <c r="O27" i="18"/>
  <c r="O26" i="18" s="1"/>
  <c r="N27" i="18"/>
  <c r="N26" i="18" s="1"/>
  <c r="M27" i="18"/>
  <c r="M26" i="18" s="1"/>
  <c r="L27" i="18"/>
  <c r="L26" i="18" s="1"/>
  <c r="K27" i="18"/>
  <c r="K26" i="18" s="1"/>
  <c r="J27" i="18"/>
  <c r="J26" i="18" s="1"/>
  <c r="I27" i="18"/>
  <c r="S26" i="18"/>
  <c r="H26" i="18"/>
  <c r="G26" i="18"/>
  <c r="F26" i="18"/>
  <c r="E26" i="18"/>
  <c r="D26" i="18"/>
  <c r="Q25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O23" i="18"/>
  <c r="O22" i="18" s="1"/>
  <c r="O20" i="18" s="1"/>
  <c r="N23" i="18"/>
  <c r="N22" i="18" s="1"/>
  <c r="N20" i="18" s="1"/>
  <c r="M23" i="18"/>
  <c r="M22" i="18" s="1"/>
  <c r="M20" i="18" s="1"/>
  <c r="L23" i="18"/>
  <c r="L22" i="18" s="1"/>
  <c r="L20" i="18" s="1"/>
  <c r="K23" i="18"/>
  <c r="K22" i="18" s="1"/>
  <c r="K20" i="18" s="1"/>
  <c r="J23" i="18"/>
  <c r="I22" i="18"/>
  <c r="I20" i="18" s="1"/>
  <c r="S22" i="18"/>
  <c r="S20" i="18" s="1"/>
  <c r="H22" i="18"/>
  <c r="H20" i="18" s="1"/>
  <c r="G22" i="18"/>
  <c r="G20" i="18" s="1"/>
  <c r="F22" i="18"/>
  <c r="F20" i="18" s="1"/>
  <c r="E22" i="18"/>
  <c r="E20" i="18" s="1"/>
  <c r="D22" i="18"/>
  <c r="Q21" i="18"/>
  <c r="D20" i="18"/>
  <c r="O19" i="18"/>
  <c r="O18" i="18" s="1"/>
  <c r="N19" i="18"/>
  <c r="N18" i="18" s="1"/>
  <c r="M19" i="18"/>
  <c r="M18" i="18" s="1"/>
  <c r="L19" i="18"/>
  <c r="L18" i="18" s="1"/>
  <c r="K19" i="18"/>
  <c r="K18" i="18" s="1"/>
  <c r="J19" i="18"/>
  <c r="J18" i="18" s="1"/>
  <c r="I19" i="18"/>
  <c r="I18" i="18" s="1"/>
  <c r="H19" i="18"/>
  <c r="H18" i="18" s="1"/>
  <c r="G19" i="18"/>
  <c r="G18" i="18" s="1"/>
  <c r="F19" i="18"/>
  <c r="F18" i="18" s="1"/>
  <c r="E19" i="18"/>
  <c r="E18" i="18" s="1"/>
  <c r="S18" i="18"/>
  <c r="D18" i="18"/>
  <c r="Q15" i="18"/>
  <c r="S13" i="18"/>
  <c r="S51" i="18" s="1"/>
  <c r="O13" i="18"/>
  <c r="N13" i="18"/>
  <c r="M13" i="18"/>
  <c r="L13" i="18"/>
  <c r="K13" i="18"/>
  <c r="G13" i="18"/>
  <c r="F13" i="18"/>
  <c r="E13" i="18"/>
  <c r="D13" i="18"/>
  <c r="D51" i="18" s="1"/>
  <c r="D55" i="18" s="1"/>
  <c r="J11" i="18"/>
  <c r="J13" i="18" s="1"/>
  <c r="I11" i="18"/>
  <c r="I13" i="18" s="1"/>
  <c r="H11" i="18"/>
  <c r="Q10" i="18"/>
  <c r="Q9" i="18"/>
  <c r="Q8" i="18"/>
  <c r="Q7" i="18"/>
  <c r="Q43" i="18" l="1"/>
  <c r="H42" i="18"/>
  <c r="Q38" i="18"/>
  <c r="Q40" i="18"/>
  <c r="L28" i="18"/>
  <c r="G33" i="18"/>
  <c r="E44" i="18"/>
  <c r="Q47" i="18"/>
  <c r="Q19" i="18"/>
  <c r="Q28" i="18"/>
  <c r="Q27" i="18"/>
  <c r="Q11" i="18"/>
  <c r="Q13" i="18" s="1"/>
  <c r="Q23" i="18"/>
  <c r="G45" i="18"/>
  <c r="F44" i="18"/>
  <c r="F49" i="18"/>
  <c r="F51" i="18" s="1"/>
  <c r="F55" i="18" s="1"/>
  <c r="H13" i="18"/>
  <c r="E49" i="18"/>
  <c r="E51" i="18" s="1"/>
  <c r="E55" i="18" s="1"/>
  <c r="Q42" i="18"/>
  <c r="J22" i="18"/>
  <c r="J20" i="18" s="1"/>
  <c r="I26" i="18"/>
  <c r="Q34" i="18"/>
  <c r="Q36" i="18"/>
  <c r="Q18" i="18" l="1"/>
  <c r="Q46" i="18"/>
  <c r="Q26" i="18"/>
  <c r="Q24" i="18" s="1"/>
  <c r="G32" i="18"/>
  <c r="H33" i="18"/>
  <c r="Q22" i="18"/>
  <c r="Q20" i="18" s="1"/>
  <c r="H45" i="18"/>
  <c r="G49" i="18"/>
  <c r="G51" i="18" s="1"/>
  <c r="G55" i="18" s="1"/>
  <c r="G44" i="18"/>
  <c r="I33" i="18" l="1"/>
  <c r="H32" i="18"/>
  <c r="I45" i="18"/>
  <c r="H49" i="18"/>
  <c r="H51" i="18" s="1"/>
  <c r="H55" i="18" s="1"/>
  <c r="H44" i="18"/>
  <c r="J33" i="18" l="1"/>
  <c r="I32" i="18"/>
  <c r="I49" i="18"/>
  <c r="I51" i="18" s="1"/>
  <c r="I55" i="18" s="1"/>
  <c r="J45" i="18"/>
  <c r="I44" i="18"/>
  <c r="J32" i="18" l="1"/>
  <c r="K33" i="18"/>
  <c r="J44" i="18"/>
  <c r="K45" i="18"/>
  <c r="J49" i="18"/>
  <c r="L33" i="18" l="1"/>
  <c r="K32" i="18"/>
  <c r="J51" i="18"/>
  <c r="J55" i="18" s="1"/>
  <c r="J50" i="18"/>
  <c r="K44" i="18"/>
  <c r="L45" i="18"/>
  <c r="K49" i="18"/>
  <c r="K51" i="18" s="1"/>
  <c r="K55" i="18" s="1"/>
  <c r="L32" i="18" l="1"/>
  <c r="M33" i="18"/>
  <c r="L44" i="18"/>
  <c r="M45" i="18"/>
  <c r="L49" i="18"/>
  <c r="L51" i="18" s="1"/>
  <c r="L55" i="18" s="1"/>
  <c r="N33" i="18" l="1"/>
  <c r="M32" i="18"/>
  <c r="M44" i="18"/>
  <c r="N45" i="18"/>
  <c r="M49" i="18"/>
  <c r="M51" i="18" s="1"/>
  <c r="M55" i="18" s="1"/>
  <c r="O33" i="18" l="1"/>
  <c r="N32" i="18"/>
  <c r="O45" i="18"/>
  <c r="N49" i="18"/>
  <c r="N51" i="18" s="1"/>
  <c r="N55" i="18" s="1"/>
  <c r="N44" i="18"/>
  <c r="Q33" i="18" l="1"/>
  <c r="O32" i="18"/>
  <c r="I30" i="18"/>
  <c r="O49" i="18"/>
  <c r="O51" i="18" s="1"/>
  <c r="O55" i="18" s="1"/>
  <c r="O44" i="18"/>
  <c r="Q45" i="18"/>
  <c r="Q32" i="18" l="1"/>
  <c r="Q30" i="18" s="1"/>
  <c r="Q49" i="18"/>
  <c r="Q51" i="18" s="1"/>
  <c r="Q55" i="18" s="1"/>
  <c r="Q44" i="18"/>
  <c r="G8" i="17" l="1"/>
  <c r="O48" i="17"/>
  <c r="D24" i="17"/>
  <c r="G21" i="17"/>
  <c r="H19" i="17"/>
  <c r="H21" i="17" s="1"/>
  <c r="H24" i="17" s="1"/>
  <c r="W64" i="17"/>
  <c r="W63" i="17"/>
  <c r="G22" i="17"/>
  <c r="Q9" i="17"/>
  <c r="Q58" i="18" l="1"/>
  <c r="W67" i="17"/>
  <c r="F60" i="16"/>
  <c r="E60" i="16"/>
  <c r="Q9" i="16"/>
  <c r="Q60" i="17"/>
  <c r="AF60" i="17" s="1"/>
  <c r="Y56" i="17"/>
  <c r="U54" i="17"/>
  <c r="D54" i="17"/>
  <c r="L52" i="17"/>
  <c r="Q52" i="17" s="1"/>
  <c r="S52" i="17" s="1"/>
  <c r="O51" i="17"/>
  <c r="N51" i="17"/>
  <c r="M51" i="17"/>
  <c r="K51" i="17"/>
  <c r="J51" i="17"/>
  <c r="I51" i="17"/>
  <c r="H51" i="17"/>
  <c r="G51" i="17"/>
  <c r="F51" i="17"/>
  <c r="E51" i="17"/>
  <c r="D51" i="17"/>
  <c r="E50" i="17"/>
  <c r="F50" i="17" s="1"/>
  <c r="O49" i="17"/>
  <c r="D49" i="17"/>
  <c r="J48" i="17"/>
  <c r="J47" i="17" s="1"/>
  <c r="I48" i="17"/>
  <c r="I47" i="17" s="1"/>
  <c r="H48" i="17"/>
  <c r="O47" i="17"/>
  <c r="N47" i="17"/>
  <c r="M47" i="17"/>
  <c r="L47" i="17"/>
  <c r="K47" i="17"/>
  <c r="G47" i="17"/>
  <c r="F47" i="17"/>
  <c r="E47" i="17"/>
  <c r="D47" i="17"/>
  <c r="I46" i="17"/>
  <c r="I45" i="17" s="1"/>
  <c r="O45" i="17"/>
  <c r="N45" i="17"/>
  <c r="M45" i="17"/>
  <c r="L45" i="17"/>
  <c r="K45" i="17"/>
  <c r="J45" i="17"/>
  <c r="H45" i="17"/>
  <c r="G45" i="17"/>
  <c r="F45" i="17"/>
  <c r="E45" i="17"/>
  <c r="D45" i="17"/>
  <c r="Q44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U42" i="17"/>
  <c r="D42" i="17"/>
  <c r="Q41" i="17"/>
  <c r="S41" i="17" s="1"/>
  <c r="O40" i="17"/>
  <c r="N40" i="17"/>
  <c r="M40" i="17"/>
  <c r="L40" i="17"/>
  <c r="K40" i="17"/>
  <c r="J40" i="17"/>
  <c r="I40" i="17"/>
  <c r="H40" i="17"/>
  <c r="G40" i="17"/>
  <c r="F40" i="17"/>
  <c r="E40" i="17"/>
  <c r="D40" i="17"/>
  <c r="Q39" i="17"/>
  <c r="S39" i="17" s="1"/>
  <c r="U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H37" i="17"/>
  <c r="Q37" i="17" s="1"/>
  <c r="S37" i="17" s="1"/>
  <c r="U36" i="17"/>
  <c r="O36" i="17"/>
  <c r="N36" i="17"/>
  <c r="M36" i="17"/>
  <c r="L36" i="17"/>
  <c r="K36" i="17"/>
  <c r="J36" i="17"/>
  <c r="I36" i="17"/>
  <c r="G36" i="17"/>
  <c r="F36" i="17"/>
  <c r="E36" i="17"/>
  <c r="D36" i="17"/>
  <c r="F35" i="17"/>
  <c r="G35" i="17" s="1"/>
  <c r="H35" i="17" s="1"/>
  <c r="U34" i="17"/>
  <c r="U32" i="17" s="1"/>
  <c r="O34" i="17"/>
  <c r="E34" i="17"/>
  <c r="D34" i="17"/>
  <c r="L33" i="17"/>
  <c r="L32" i="17" s="1"/>
  <c r="I33" i="17"/>
  <c r="O32" i="17"/>
  <c r="N32" i="17"/>
  <c r="M32" i="17"/>
  <c r="K32" i="17"/>
  <c r="J32" i="17"/>
  <c r="H32" i="17"/>
  <c r="G32" i="17"/>
  <c r="F32" i="17"/>
  <c r="E32" i="17"/>
  <c r="D32" i="17"/>
  <c r="L31" i="17"/>
  <c r="Q31" i="17" s="1"/>
  <c r="S31" i="17" s="1"/>
  <c r="O30" i="17"/>
  <c r="N30" i="17"/>
  <c r="M30" i="17"/>
  <c r="K30" i="17"/>
  <c r="J30" i="17"/>
  <c r="I30" i="17"/>
  <c r="H30" i="17"/>
  <c r="G30" i="17"/>
  <c r="F30" i="17"/>
  <c r="E30" i="17"/>
  <c r="D30" i="17"/>
  <c r="O29" i="17"/>
  <c r="N29" i="17"/>
  <c r="N28" i="17" s="1"/>
  <c r="M29" i="17"/>
  <c r="M28" i="17" s="1"/>
  <c r="L29" i="17"/>
  <c r="L28" i="17" s="1"/>
  <c r="K29" i="17"/>
  <c r="K28" i="17" s="1"/>
  <c r="J29" i="17"/>
  <c r="J28" i="17" s="1"/>
  <c r="I29" i="17"/>
  <c r="I28" i="17" s="1"/>
  <c r="H29" i="17"/>
  <c r="H28" i="17" s="1"/>
  <c r="U28" i="17"/>
  <c r="O28" i="17"/>
  <c r="G28" i="17"/>
  <c r="F28" i="17"/>
  <c r="E28" i="17"/>
  <c r="D28" i="17"/>
  <c r="O27" i="17"/>
  <c r="N27" i="17"/>
  <c r="N26" i="17" s="1"/>
  <c r="M27" i="17"/>
  <c r="L27" i="17"/>
  <c r="K27" i="17"/>
  <c r="J27" i="17"/>
  <c r="J26" i="17" s="1"/>
  <c r="I27" i="17"/>
  <c r="I26" i="17" s="1"/>
  <c r="H27" i="17"/>
  <c r="H26" i="17" s="1"/>
  <c r="G27" i="17"/>
  <c r="F27" i="17"/>
  <c r="F26" i="17" s="1"/>
  <c r="E27" i="17"/>
  <c r="E42" i="17" s="1"/>
  <c r="U26" i="17"/>
  <c r="O26" i="17"/>
  <c r="D26" i="17"/>
  <c r="U24" i="17"/>
  <c r="G24" i="17"/>
  <c r="F24" i="17"/>
  <c r="E24" i="17"/>
  <c r="Y23" i="17"/>
  <c r="Q23" i="17"/>
  <c r="S23" i="17" s="1"/>
  <c r="O22" i="17"/>
  <c r="N22" i="17"/>
  <c r="M22" i="17"/>
  <c r="L22" i="17"/>
  <c r="K22" i="17"/>
  <c r="J22" i="17"/>
  <c r="I22" i="17"/>
  <c r="H22" i="17"/>
  <c r="F22" i="17"/>
  <c r="E22" i="17"/>
  <c r="D22" i="17"/>
  <c r="Y21" i="17"/>
  <c r="O21" i="17"/>
  <c r="O24" i="17" s="1"/>
  <c r="N21" i="17"/>
  <c r="N24" i="17" s="1"/>
  <c r="L21" i="17"/>
  <c r="L20" i="17" s="1"/>
  <c r="L18" i="17" s="1"/>
  <c r="J21" i="17"/>
  <c r="J24" i="17" s="1"/>
  <c r="I21" i="17"/>
  <c r="I24" i="17" s="1"/>
  <c r="H20" i="17"/>
  <c r="H18" i="17" s="1"/>
  <c r="U20" i="17"/>
  <c r="U18" i="17" s="1"/>
  <c r="G20" i="17"/>
  <c r="G18" i="17" s="1"/>
  <c r="F20" i="17"/>
  <c r="F18" i="17" s="1"/>
  <c r="E20" i="17"/>
  <c r="E18" i="17" s="1"/>
  <c r="D20" i="17"/>
  <c r="Y19" i="17"/>
  <c r="M19" i="17"/>
  <c r="K19" i="17"/>
  <c r="O18" i="17"/>
  <c r="D18" i="17"/>
  <c r="Q15" i="17"/>
  <c r="U13" i="17"/>
  <c r="O13" i="17"/>
  <c r="N13" i="17"/>
  <c r="M13" i="17"/>
  <c r="L13" i="17"/>
  <c r="K13" i="17"/>
  <c r="G13" i="17"/>
  <c r="F13" i="17"/>
  <c r="E13" i="17"/>
  <c r="D13" i="17"/>
  <c r="Y11" i="17"/>
  <c r="J11" i="17"/>
  <c r="J13" i="17" s="1"/>
  <c r="I11" i="17"/>
  <c r="I13" i="17" s="1"/>
  <c r="H11" i="17"/>
  <c r="H13" i="17" s="1"/>
  <c r="Y10" i="17"/>
  <c r="Q10" i="17"/>
  <c r="S10" i="17" s="1"/>
  <c r="Y8" i="17"/>
  <c r="Q8" i="17"/>
  <c r="Y7" i="17"/>
  <c r="Q7" i="17"/>
  <c r="C2" i="17"/>
  <c r="H24" i="16"/>
  <c r="AF13" i="17" l="1"/>
  <c r="S8" i="17"/>
  <c r="Q19" i="17"/>
  <c r="S19" i="17" s="1"/>
  <c r="I20" i="17"/>
  <c r="I18" i="17" s="1"/>
  <c r="G42" i="17"/>
  <c r="H36" i="17"/>
  <c r="Q33" i="17"/>
  <c r="S33" i="17" s="1"/>
  <c r="Q48" i="17"/>
  <c r="U56" i="17"/>
  <c r="U58" i="17" s="1"/>
  <c r="J20" i="17"/>
  <c r="J18" i="17" s="1"/>
  <c r="D56" i="17"/>
  <c r="Y20" i="17"/>
  <c r="Y18" i="17" s="1"/>
  <c r="G26" i="17"/>
  <c r="Q29" i="17"/>
  <c r="S29" i="17" s="1"/>
  <c r="L30" i="17"/>
  <c r="G50" i="17"/>
  <c r="G54" i="17" s="1"/>
  <c r="F54" i="17"/>
  <c r="F49" i="17"/>
  <c r="I35" i="17"/>
  <c r="H42" i="17"/>
  <c r="H34" i="17"/>
  <c r="Q11" i="17"/>
  <c r="S11" i="17" s="1"/>
  <c r="Y13" i="17"/>
  <c r="Y58" i="17" s="1"/>
  <c r="L26" i="17"/>
  <c r="G34" i="17"/>
  <c r="N20" i="17"/>
  <c r="N18" i="17" s="1"/>
  <c r="K21" i="17"/>
  <c r="K20" i="17" s="1"/>
  <c r="K18" i="17" s="1"/>
  <c r="L24" i="17"/>
  <c r="E26" i="17"/>
  <c r="M26" i="17"/>
  <c r="Q27" i="17"/>
  <c r="E49" i="17"/>
  <c r="L51" i="17"/>
  <c r="O20" i="17"/>
  <c r="F42" i="17"/>
  <c r="H47" i="17"/>
  <c r="E54" i="17"/>
  <c r="E56" i="17" s="1"/>
  <c r="E58" i="17" s="1"/>
  <c r="M21" i="17"/>
  <c r="M24" i="17" s="1"/>
  <c r="Q43" i="17"/>
  <c r="Q36" i="17"/>
  <c r="Q46" i="17"/>
  <c r="S46" i="17" s="1"/>
  <c r="S7" i="17"/>
  <c r="Q38" i="17"/>
  <c r="Q40" i="17"/>
  <c r="S44" i="17"/>
  <c r="Q51" i="17"/>
  <c r="K26" i="17"/>
  <c r="F34" i="17"/>
  <c r="Q13" i="17" l="1"/>
  <c r="S48" i="17"/>
  <c r="F56" i="17"/>
  <c r="F58" i="17" s="1"/>
  <c r="F62" i="17" s="1"/>
  <c r="D58" i="17"/>
  <c r="D62" i="17" s="1"/>
  <c r="Q30" i="17"/>
  <c r="S13" i="17"/>
  <c r="Q47" i="17"/>
  <c r="Q28" i="17"/>
  <c r="Q22" i="17" s="1"/>
  <c r="K24" i="17"/>
  <c r="M20" i="17"/>
  <c r="M18" i="17" s="1"/>
  <c r="Q21" i="17"/>
  <c r="E62" i="17"/>
  <c r="S27" i="17"/>
  <c r="Q45" i="17"/>
  <c r="J35" i="17"/>
  <c r="I34" i="17"/>
  <c r="G56" i="17"/>
  <c r="G49" i="17"/>
  <c r="H50" i="17"/>
  <c r="Q26" i="17"/>
  <c r="I42" i="17"/>
  <c r="F65" i="17" l="1"/>
  <c r="E65" i="17"/>
  <c r="Q24" i="17"/>
  <c r="S24" i="17" s="1"/>
  <c r="G58" i="17"/>
  <c r="G62" i="17" s="1"/>
  <c r="S21" i="17"/>
  <c r="Q20" i="17"/>
  <c r="Q18" i="17" s="1"/>
  <c r="AA13" i="17"/>
  <c r="H49" i="17"/>
  <c r="I50" i="17"/>
  <c r="H54" i="17"/>
  <c r="H56" i="17" s="1"/>
  <c r="H58" i="17" s="1"/>
  <c r="J34" i="17"/>
  <c r="K35" i="17"/>
  <c r="J42" i="17"/>
  <c r="H62" i="17" l="1"/>
  <c r="H65" i="17"/>
  <c r="G65" i="17"/>
  <c r="I49" i="17"/>
  <c r="J50" i="17"/>
  <c r="I54" i="17"/>
  <c r="K34" i="17"/>
  <c r="L35" i="17"/>
  <c r="K42" i="17"/>
  <c r="I56" i="17" l="1"/>
  <c r="I58" i="17" s="1"/>
  <c r="L34" i="17"/>
  <c r="M35" i="17"/>
  <c r="L42" i="17"/>
  <c r="J49" i="17"/>
  <c r="K50" i="17"/>
  <c r="J54" i="17"/>
  <c r="I62" i="17" l="1"/>
  <c r="J56" i="17"/>
  <c r="M34" i="17"/>
  <c r="N35" i="17"/>
  <c r="M42" i="17"/>
  <c r="K49" i="17"/>
  <c r="L50" i="17"/>
  <c r="K54" i="17"/>
  <c r="J58" i="17" l="1"/>
  <c r="I65" i="17"/>
  <c r="K56" i="17"/>
  <c r="K58" i="17" s="1"/>
  <c r="K62" i="17" s="1"/>
  <c r="M50" i="17"/>
  <c r="L54" i="17"/>
  <c r="L56" i="17" s="1"/>
  <c r="L49" i="17"/>
  <c r="N34" i="17"/>
  <c r="O35" i="17"/>
  <c r="N42" i="17"/>
  <c r="J62" i="17" l="1"/>
  <c r="L58" i="17"/>
  <c r="L62" i="17" s="1"/>
  <c r="I32" i="17"/>
  <c r="O42" i="17"/>
  <c r="AA35" i="17"/>
  <c r="N50" i="17"/>
  <c r="M54" i="17"/>
  <c r="M56" i="17" s="1"/>
  <c r="M58" i="17" s="1"/>
  <c r="M62" i="17" s="1"/>
  <c r="M49" i="17"/>
  <c r="Q35" i="17"/>
  <c r="J65" i="17" l="1"/>
  <c r="K65" i="17"/>
  <c r="L65" i="17"/>
  <c r="M65" i="17"/>
  <c r="O50" i="17"/>
  <c r="N54" i="17"/>
  <c r="N56" i="17" s="1"/>
  <c r="N58" i="17" s="1"/>
  <c r="N62" i="17" s="1"/>
  <c r="N65" i="17" s="1"/>
  <c r="N49" i="17"/>
  <c r="S35" i="17"/>
  <c r="Q34" i="17"/>
  <c r="Q32" i="17" s="1"/>
  <c r="Q42" i="17"/>
  <c r="O54" i="17" l="1"/>
  <c r="O56" i="17" s="1"/>
  <c r="O58" i="17" s="1"/>
  <c r="O62" i="17" s="1"/>
  <c r="Q50" i="17"/>
  <c r="Q54" i="17" s="1"/>
  <c r="S42" i="17"/>
  <c r="O65" i="17" l="1"/>
  <c r="Q65" i="17"/>
  <c r="AF63" i="17"/>
  <c r="AF58" i="17"/>
  <c r="AF62" i="17" s="1"/>
  <c r="AF56" i="17"/>
  <c r="W56" i="17"/>
  <c r="Q49" i="17"/>
  <c r="Q56" i="17"/>
  <c r="Q58" i="17" s="1"/>
  <c r="Q62" i="17" s="1"/>
  <c r="W58" i="17" l="1"/>
  <c r="S54" i="17"/>
  <c r="S56" i="17" s="1"/>
  <c r="AA56" i="17" l="1"/>
  <c r="S58" i="17" l="1"/>
  <c r="Q62" i="16" l="1"/>
  <c r="W10" i="14"/>
  <c r="Y56" i="16"/>
  <c r="Y10" i="16"/>
  <c r="M19" i="16" l="1"/>
  <c r="K19" i="16"/>
  <c r="J21" i="16"/>
  <c r="J24" i="16" s="1"/>
  <c r="L33" i="16"/>
  <c r="I33" i="16"/>
  <c r="H37" i="16"/>
  <c r="I46" i="16"/>
  <c r="I48" i="16"/>
  <c r="U54" i="16"/>
  <c r="S51" i="14" l="1"/>
  <c r="D54" i="16" l="1"/>
  <c r="U42" i="16"/>
  <c r="D42" i="16"/>
  <c r="E24" i="16" l="1"/>
  <c r="F24" i="16"/>
  <c r="G24" i="16"/>
  <c r="U24" i="16"/>
  <c r="U56" i="16" s="1"/>
  <c r="D24" i="16"/>
  <c r="D56" i="16" s="1"/>
  <c r="Q15" i="16"/>
  <c r="L52" i="16"/>
  <c r="L51" i="16" s="1"/>
  <c r="O51" i="16"/>
  <c r="N51" i="16"/>
  <c r="K51" i="16"/>
  <c r="J51" i="16"/>
  <c r="I51" i="16"/>
  <c r="H51" i="16"/>
  <c r="G51" i="16"/>
  <c r="F51" i="16"/>
  <c r="E51" i="16"/>
  <c r="D51" i="16"/>
  <c r="E50" i="16"/>
  <c r="O49" i="16"/>
  <c r="D49" i="16"/>
  <c r="J48" i="16"/>
  <c r="J47" i="16" s="1"/>
  <c r="H48" i="16"/>
  <c r="H47" i="16" s="1"/>
  <c r="O47" i="16"/>
  <c r="N47" i="16"/>
  <c r="M47" i="16"/>
  <c r="L47" i="16"/>
  <c r="K47" i="16"/>
  <c r="I47" i="16"/>
  <c r="G47" i="16"/>
  <c r="F47" i="16"/>
  <c r="E47" i="16"/>
  <c r="D47" i="16"/>
  <c r="Q46" i="16"/>
  <c r="S46" i="16" s="1"/>
  <c r="O45" i="16"/>
  <c r="N45" i="16"/>
  <c r="M45" i="16"/>
  <c r="L45" i="16"/>
  <c r="K45" i="16"/>
  <c r="J45" i="16"/>
  <c r="I45" i="16"/>
  <c r="H45" i="16"/>
  <c r="G45" i="16"/>
  <c r="F45" i="16"/>
  <c r="E45" i="16"/>
  <c r="D45" i="16"/>
  <c r="Q44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Q41" i="16"/>
  <c r="S41" i="16" s="1"/>
  <c r="O40" i="16"/>
  <c r="N40" i="16"/>
  <c r="M40" i="16"/>
  <c r="L40" i="16"/>
  <c r="K40" i="16"/>
  <c r="J40" i="16"/>
  <c r="I40" i="16"/>
  <c r="H40" i="16"/>
  <c r="G40" i="16"/>
  <c r="F40" i="16"/>
  <c r="E40" i="16"/>
  <c r="D40" i="16"/>
  <c r="Q39" i="16"/>
  <c r="S39" i="16" s="1"/>
  <c r="U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Q37" i="16"/>
  <c r="S37" i="16" s="1"/>
  <c r="U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F35" i="16"/>
  <c r="U34" i="16"/>
  <c r="U32" i="16" s="1"/>
  <c r="O34" i="16"/>
  <c r="E34" i="16"/>
  <c r="D34" i="16"/>
  <c r="Q33" i="16"/>
  <c r="S33" i="16" s="1"/>
  <c r="O32" i="16"/>
  <c r="N32" i="16"/>
  <c r="M32" i="16"/>
  <c r="L32" i="16"/>
  <c r="K32" i="16"/>
  <c r="J32" i="16"/>
  <c r="H32" i="16"/>
  <c r="G32" i="16"/>
  <c r="F32" i="16"/>
  <c r="E32" i="16"/>
  <c r="D32" i="16"/>
  <c r="L31" i="16"/>
  <c r="O30" i="16"/>
  <c r="N30" i="16"/>
  <c r="M30" i="16"/>
  <c r="K30" i="16"/>
  <c r="J30" i="16"/>
  <c r="I30" i="16"/>
  <c r="H30" i="16"/>
  <c r="G30" i="16"/>
  <c r="F30" i="16"/>
  <c r="E30" i="16"/>
  <c r="D30" i="16"/>
  <c r="O29" i="16"/>
  <c r="N29" i="16"/>
  <c r="N28" i="16" s="1"/>
  <c r="M29" i="16"/>
  <c r="M28" i="16" s="1"/>
  <c r="L29" i="16"/>
  <c r="L28" i="16" s="1"/>
  <c r="K29" i="16"/>
  <c r="K28" i="16" s="1"/>
  <c r="J29" i="16"/>
  <c r="J28" i="16" s="1"/>
  <c r="I29" i="16"/>
  <c r="I28" i="16" s="1"/>
  <c r="H29" i="16"/>
  <c r="U28" i="16"/>
  <c r="O28" i="16"/>
  <c r="G28" i="16"/>
  <c r="F28" i="16"/>
  <c r="E28" i="16"/>
  <c r="D28" i="16"/>
  <c r="Y23" i="16"/>
  <c r="Q23" i="16"/>
  <c r="S23" i="16" s="1"/>
  <c r="O22" i="16"/>
  <c r="N22" i="16"/>
  <c r="M22" i="16"/>
  <c r="L22" i="16"/>
  <c r="K22" i="16"/>
  <c r="J22" i="16"/>
  <c r="I22" i="16"/>
  <c r="H22" i="16"/>
  <c r="G22" i="16"/>
  <c r="F22" i="16"/>
  <c r="E22" i="16"/>
  <c r="D22" i="16"/>
  <c r="Y21" i="16"/>
  <c r="O21" i="16"/>
  <c r="O20" i="16" s="1"/>
  <c r="N21" i="16"/>
  <c r="N20" i="16" s="1"/>
  <c r="N18" i="16" s="1"/>
  <c r="M21" i="16"/>
  <c r="M24" i="16" s="1"/>
  <c r="L21" i="16"/>
  <c r="L20" i="16" s="1"/>
  <c r="L18" i="16" s="1"/>
  <c r="K21" i="16"/>
  <c r="K24" i="16" s="1"/>
  <c r="I21" i="16"/>
  <c r="I20" i="16" s="1"/>
  <c r="I18" i="16" s="1"/>
  <c r="H21" i="16"/>
  <c r="U20" i="16"/>
  <c r="U18" i="16" s="1"/>
  <c r="G20" i="16"/>
  <c r="G18" i="16" s="1"/>
  <c r="F20" i="16"/>
  <c r="F18" i="16" s="1"/>
  <c r="E20" i="16"/>
  <c r="E18" i="16" s="1"/>
  <c r="D20" i="16"/>
  <c r="Y19" i="16"/>
  <c r="Y64" i="16" s="1"/>
  <c r="Q19" i="16"/>
  <c r="O18" i="16"/>
  <c r="D18" i="16"/>
  <c r="O27" i="16"/>
  <c r="N27" i="16"/>
  <c r="N26" i="16" s="1"/>
  <c r="M27" i="16"/>
  <c r="M26" i="16" s="1"/>
  <c r="L27" i="16"/>
  <c r="L26" i="16" s="1"/>
  <c r="K27" i="16"/>
  <c r="K26" i="16" s="1"/>
  <c r="J27" i="16"/>
  <c r="J26" i="16" s="1"/>
  <c r="I27" i="16"/>
  <c r="I26" i="16" s="1"/>
  <c r="H27" i="16"/>
  <c r="H26" i="16" s="1"/>
  <c r="G27" i="16"/>
  <c r="F27" i="16"/>
  <c r="F26" i="16" s="1"/>
  <c r="E27" i="16"/>
  <c r="U26" i="16"/>
  <c r="O26" i="16"/>
  <c r="D26" i="16"/>
  <c r="U13" i="16"/>
  <c r="U58" i="16" s="1"/>
  <c r="O13" i="16"/>
  <c r="N13" i="16"/>
  <c r="M13" i="16"/>
  <c r="L13" i="16"/>
  <c r="K13" i="16"/>
  <c r="G13" i="16"/>
  <c r="F13" i="16"/>
  <c r="E13" i="16"/>
  <c r="D13" i="16"/>
  <c r="D58" i="16" s="1"/>
  <c r="D64" i="16" s="1"/>
  <c r="Y11" i="16"/>
  <c r="J11" i="16"/>
  <c r="J13" i="16" s="1"/>
  <c r="I11" i="16"/>
  <c r="I13" i="16" s="1"/>
  <c r="H11" i="16"/>
  <c r="H13" i="16" s="1"/>
  <c r="Q10" i="16"/>
  <c r="S10" i="16" s="1"/>
  <c r="Y8" i="16"/>
  <c r="Q8" i="16"/>
  <c r="S8" i="16" s="1"/>
  <c r="Y7" i="16"/>
  <c r="Q7" i="16"/>
  <c r="C2" i="16"/>
  <c r="F33" i="14"/>
  <c r="G33" i="14"/>
  <c r="H33" i="14" s="1"/>
  <c r="I33" i="14" s="1"/>
  <c r="J33" i="14" s="1"/>
  <c r="K33" i="14" s="1"/>
  <c r="L33" i="14" s="1"/>
  <c r="M33" i="14" s="1"/>
  <c r="N33" i="14" s="1"/>
  <c r="O33" i="14" s="1"/>
  <c r="H23" i="14"/>
  <c r="I23" i="14"/>
  <c r="J23" i="14"/>
  <c r="K23" i="14"/>
  <c r="L23" i="14"/>
  <c r="M23" i="14"/>
  <c r="N23" i="14"/>
  <c r="O23" i="14"/>
  <c r="D66" i="16" l="1"/>
  <c r="H28" i="16"/>
  <c r="Q29" i="16"/>
  <c r="S29" i="16" s="1"/>
  <c r="M20" i="16"/>
  <c r="M18" i="16" s="1"/>
  <c r="S19" i="16"/>
  <c r="J20" i="16"/>
  <c r="J18" i="16" s="1"/>
  <c r="K20" i="16"/>
  <c r="K18" i="16" s="1"/>
  <c r="F50" i="16"/>
  <c r="F54" i="16" s="1"/>
  <c r="E54" i="16"/>
  <c r="S44" i="16"/>
  <c r="E26" i="16"/>
  <c r="E42" i="16"/>
  <c r="L30" i="16"/>
  <c r="F34" i="16"/>
  <c r="F42" i="16"/>
  <c r="L24" i="16"/>
  <c r="I24" i="16"/>
  <c r="O24" i="16"/>
  <c r="N24" i="16"/>
  <c r="Y20" i="16"/>
  <c r="Y18" i="16" s="1"/>
  <c r="Q38" i="16"/>
  <c r="Q11" i="16"/>
  <c r="Q21" i="16"/>
  <c r="S21" i="16" s="1"/>
  <c r="Q31" i="16"/>
  <c r="S31" i="16" s="1"/>
  <c r="Y13" i="16"/>
  <c r="Q27" i="16"/>
  <c r="E49" i="16"/>
  <c r="Q48" i="16"/>
  <c r="S48" i="16" s="1"/>
  <c r="Q52" i="16"/>
  <c r="Q51" i="16" s="1"/>
  <c r="G26" i="16"/>
  <c r="H20" i="16"/>
  <c r="H18" i="16" s="1"/>
  <c r="Q43" i="16"/>
  <c r="Q45" i="16"/>
  <c r="Q40" i="16"/>
  <c r="M51" i="16"/>
  <c r="G35" i="16"/>
  <c r="G42" i="16" s="1"/>
  <c r="Q36" i="16"/>
  <c r="S7" i="16"/>
  <c r="W55" i="14"/>
  <c r="W51" i="14"/>
  <c r="W19" i="14"/>
  <c r="W18" i="14" s="1"/>
  <c r="W45" i="14"/>
  <c r="W49" i="14"/>
  <c r="W47" i="14"/>
  <c r="W43" i="14"/>
  <c r="W41" i="14"/>
  <c r="W37" i="14"/>
  <c r="W36" i="14" s="1"/>
  <c r="W35" i="14"/>
  <c r="W33" i="14"/>
  <c r="W31" i="14"/>
  <c r="W27" i="14"/>
  <c r="W29" i="14"/>
  <c r="W25" i="14"/>
  <c r="W23" i="14"/>
  <c r="W21" i="14"/>
  <c r="W11" i="14"/>
  <c r="W8" i="14"/>
  <c r="W32" i="14" s="1"/>
  <c r="W30" i="14" s="1"/>
  <c r="W7" i="14"/>
  <c r="W34" i="14"/>
  <c r="W26" i="14"/>
  <c r="W22" i="14"/>
  <c r="W13" i="14"/>
  <c r="S36" i="14"/>
  <c r="S34" i="14"/>
  <c r="S32" i="14"/>
  <c r="S30" i="14"/>
  <c r="S26" i="14"/>
  <c r="S22" i="14"/>
  <c r="S20" i="14" s="1"/>
  <c r="S18" i="14"/>
  <c r="S13" i="14"/>
  <c r="N11" i="15"/>
  <c r="N12" i="15"/>
  <c r="B13" i="15"/>
  <c r="C13" i="15"/>
  <c r="C23" i="15" s="1"/>
  <c r="C24" i="15" s="1"/>
  <c r="D13" i="15"/>
  <c r="E13" i="15"/>
  <c r="F13" i="15"/>
  <c r="G13" i="15"/>
  <c r="H13" i="15"/>
  <c r="I13" i="15"/>
  <c r="J13" i="15"/>
  <c r="K13" i="15"/>
  <c r="K23" i="15" s="1"/>
  <c r="K24" i="15" s="1"/>
  <c r="L13" i="15"/>
  <c r="M13" i="15"/>
  <c r="N14" i="15"/>
  <c r="N15" i="15"/>
  <c r="N16" i="15"/>
  <c r="N18" i="15"/>
  <c r="N19" i="15"/>
  <c r="N20" i="15"/>
  <c r="B21" i="15"/>
  <c r="C21" i="15"/>
  <c r="D21" i="15"/>
  <c r="E21" i="15"/>
  <c r="F21" i="15"/>
  <c r="G21" i="15"/>
  <c r="H21" i="15"/>
  <c r="I21" i="15"/>
  <c r="J21" i="15"/>
  <c r="K21" i="15"/>
  <c r="L21" i="15"/>
  <c r="M21" i="15"/>
  <c r="N22" i="15"/>
  <c r="N28" i="15"/>
  <c r="N29" i="15"/>
  <c r="B30" i="15"/>
  <c r="C30" i="15"/>
  <c r="C47" i="15" s="1"/>
  <c r="D30" i="15"/>
  <c r="E30" i="15"/>
  <c r="F30" i="15"/>
  <c r="G30" i="15"/>
  <c r="H30" i="15"/>
  <c r="I30" i="15"/>
  <c r="J30" i="15"/>
  <c r="K30" i="15"/>
  <c r="L30" i="15"/>
  <c r="M30" i="15"/>
  <c r="N32" i="15"/>
  <c r="N33" i="15"/>
  <c r="N35" i="15"/>
  <c r="N36" i="15" s="1"/>
  <c r="B36" i="15"/>
  <c r="C36" i="15"/>
  <c r="D36" i="15"/>
  <c r="E36" i="15"/>
  <c r="F36" i="15"/>
  <c r="G36" i="15"/>
  <c r="H36" i="15"/>
  <c r="I36" i="15"/>
  <c r="J36" i="15"/>
  <c r="K36" i="15"/>
  <c r="L36" i="15"/>
  <c r="M36" i="15"/>
  <c r="N37" i="15"/>
  <c r="N38" i="15"/>
  <c r="N39" i="15"/>
  <c r="B40" i="15"/>
  <c r="C40" i="15"/>
  <c r="D40" i="15"/>
  <c r="E40" i="15"/>
  <c r="F40" i="15"/>
  <c r="G40" i="15"/>
  <c r="H40" i="15"/>
  <c r="I40" i="15"/>
  <c r="J40" i="15"/>
  <c r="K40" i="15"/>
  <c r="L40" i="15"/>
  <c r="M40" i="15"/>
  <c r="N41" i="15"/>
  <c r="N43" i="15"/>
  <c r="N44" i="15"/>
  <c r="B45" i="15"/>
  <c r="C45" i="15"/>
  <c r="D45" i="15"/>
  <c r="E45" i="15"/>
  <c r="F45" i="15"/>
  <c r="G45" i="15"/>
  <c r="H45" i="15"/>
  <c r="I45" i="15"/>
  <c r="J45" i="15"/>
  <c r="K45" i="15"/>
  <c r="L45" i="15"/>
  <c r="M45" i="15"/>
  <c r="N46" i="15"/>
  <c r="N50" i="15"/>
  <c r="N51" i="15" s="1"/>
  <c r="B51" i="15"/>
  <c r="C51" i="15"/>
  <c r="D51" i="15"/>
  <c r="E51" i="15"/>
  <c r="F51" i="15"/>
  <c r="G51" i="15"/>
  <c r="H51" i="15"/>
  <c r="I51" i="15"/>
  <c r="J51" i="15"/>
  <c r="K51" i="15"/>
  <c r="L51" i="15"/>
  <c r="M51" i="15"/>
  <c r="N53" i="15"/>
  <c r="N54" i="15"/>
  <c r="B55" i="15"/>
  <c r="C55" i="15"/>
  <c r="D55" i="15"/>
  <c r="E55" i="15"/>
  <c r="F55" i="15"/>
  <c r="G55" i="15"/>
  <c r="H55" i="15"/>
  <c r="I55" i="15"/>
  <c r="J55" i="15"/>
  <c r="K55" i="15"/>
  <c r="L55" i="15"/>
  <c r="M55" i="15"/>
  <c r="N56" i="15"/>
  <c r="N58" i="15"/>
  <c r="N59" i="15"/>
  <c r="N60" i="15"/>
  <c r="B61" i="15"/>
  <c r="C61" i="15"/>
  <c r="D61" i="15"/>
  <c r="E61" i="15"/>
  <c r="F61" i="15"/>
  <c r="G61" i="15"/>
  <c r="H61" i="15"/>
  <c r="I61" i="15"/>
  <c r="J61" i="15"/>
  <c r="K61" i="15"/>
  <c r="L61" i="15"/>
  <c r="M61" i="15"/>
  <c r="N63" i="15"/>
  <c r="N64" i="15"/>
  <c r="B65" i="15"/>
  <c r="C65" i="15"/>
  <c r="D65" i="15"/>
  <c r="E65" i="15"/>
  <c r="F65" i="15"/>
  <c r="G65" i="15"/>
  <c r="H65" i="15"/>
  <c r="I65" i="15"/>
  <c r="J65" i="15"/>
  <c r="K65" i="15"/>
  <c r="L65" i="15"/>
  <c r="M65" i="15"/>
  <c r="N69" i="15"/>
  <c r="N71" i="15" s="1"/>
  <c r="N70" i="15"/>
  <c r="B71" i="15"/>
  <c r="C71" i="15"/>
  <c r="D71" i="15"/>
  <c r="E71" i="15"/>
  <c r="F71" i="15"/>
  <c r="G71" i="15"/>
  <c r="H71" i="15"/>
  <c r="I71" i="15"/>
  <c r="J71" i="15"/>
  <c r="K71" i="15"/>
  <c r="L71" i="15"/>
  <c r="M71" i="15"/>
  <c r="N73" i="15"/>
  <c r="N74" i="15"/>
  <c r="N75" i="15"/>
  <c r="B76" i="15"/>
  <c r="C76" i="15"/>
  <c r="D76" i="15"/>
  <c r="E76" i="15"/>
  <c r="F76" i="15"/>
  <c r="G76" i="15"/>
  <c r="H76" i="15"/>
  <c r="I76" i="15"/>
  <c r="J76" i="15"/>
  <c r="K76" i="15"/>
  <c r="L76" i="15"/>
  <c r="M76" i="15"/>
  <c r="N78" i="15"/>
  <c r="N79" i="15" s="1"/>
  <c r="B79" i="15"/>
  <c r="C79" i="15"/>
  <c r="D79" i="15"/>
  <c r="E79" i="15"/>
  <c r="F79" i="15"/>
  <c r="G79" i="15"/>
  <c r="H79" i="15"/>
  <c r="I79" i="15"/>
  <c r="J79" i="15"/>
  <c r="K79" i="15"/>
  <c r="L79" i="15"/>
  <c r="M79" i="15"/>
  <c r="N81" i="15"/>
  <c r="N82" i="15"/>
  <c r="N83" i="15"/>
  <c r="N84" i="15"/>
  <c r="B85" i="15"/>
  <c r="C85" i="15"/>
  <c r="D85" i="15"/>
  <c r="E85" i="15"/>
  <c r="F85" i="15"/>
  <c r="G85" i="15"/>
  <c r="H85" i="15"/>
  <c r="I85" i="15"/>
  <c r="J85" i="15"/>
  <c r="K85" i="15"/>
  <c r="L85" i="15"/>
  <c r="M85" i="15"/>
  <c r="N87" i="15"/>
  <c r="N88" i="15" s="1"/>
  <c r="B88" i="15"/>
  <c r="C88" i="15"/>
  <c r="D88" i="15"/>
  <c r="E88" i="15"/>
  <c r="F88" i="15"/>
  <c r="G88" i="15"/>
  <c r="H88" i="15"/>
  <c r="I88" i="15"/>
  <c r="J88" i="15"/>
  <c r="K88" i="15"/>
  <c r="L88" i="15"/>
  <c r="M88" i="15"/>
  <c r="N89" i="15"/>
  <c r="N92" i="15"/>
  <c r="N93" i="15" s="1"/>
  <c r="B93" i="15"/>
  <c r="C93" i="15"/>
  <c r="D93" i="15"/>
  <c r="E93" i="15"/>
  <c r="F93" i="15"/>
  <c r="G93" i="15"/>
  <c r="H93" i="15"/>
  <c r="I93" i="15"/>
  <c r="J93" i="15"/>
  <c r="K93" i="15"/>
  <c r="L93" i="15"/>
  <c r="M93" i="15"/>
  <c r="N101" i="15"/>
  <c r="N102" i="15" s="1"/>
  <c r="N103" i="15" s="1"/>
  <c r="N104" i="15" s="1"/>
  <c r="B102" i="15"/>
  <c r="B103" i="15" s="1"/>
  <c r="B104" i="15" s="1"/>
  <c r="C102" i="15"/>
  <c r="C103" i="15" s="1"/>
  <c r="C104" i="15" s="1"/>
  <c r="D102" i="15"/>
  <c r="D103" i="15" s="1"/>
  <c r="D104" i="15" s="1"/>
  <c r="E102" i="15"/>
  <c r="E103" i="15" s="1"/>
  <c r="E104" i="15" s="1"/>
  <c r="F102" i="15"/>
  <c r="F103" i="15" s="1"/>
  <c r="F104" i="15" s="1"/>
  <c r="G102" i="15"/>
  <c r="G103" i="15" s="1"/>
  <c r="G104" i="15" s="1"/>
  <c r="H102" i="15"/>
  <c r="H103" i="15" s="1"/>
  <c r="H104" i="15" s="1"/>
  <c r="I102" i="15"/>
  <c r="I103" i="15" s="1"/>
  <c r="I104" i="15" s="1"/>
  <c r="J102" i="15"/>
  <c r="J103" i="15" s="1"/>
  <c r="J104" i="15" s="1"/>
  <c r="K102" i="15"/>
  <c r="K103" i="15" s="1"/>
  <c r="K104" i="15" s="1"/>
  <c r="L102" i="15"/>
  <c r="L103" i="15" s="1"/>
  <c r="L104" i="15" s="1"/>
  <c r="M102" i="15"/>
  <c r="M103" i="15" s="1"/>
  <c r="M104" i="15" s="1"/>
  <c r="M49" i="14"/>
  <c r="M48" i="14" s="1"/>
  <c r="O48" i="14"/>
  <c r="N48" i="14"/>
  <c r="K48" i="14"/>
  <c r="J48" i="14"/>
  <c r="I48" i="14"/>
  <c r="G48" i="14"/>
  <c r="F48" i="14"/>
  <c r="E48" i="14"/>
  <c r="D48" i="14"/>
  <c r="E47" i="14"/>
  <c r="F47" i="14" s="1"/>
  <c r="F46" i="14" s="1"/>
  <c r="E46" i="14"/>
  <c r="D46" i="14"/>
  <c r="J45" i="14"/>
  <c r="J44" i="14" s="1"/>
  <c r="H45" i="14"/>
  <c r="H51" i="14" s="1"/>
  <c r="O44" i="14"/>
  <c r="N44" i="14"/>
  <c r="M44" i="14"/>
  <c r="L44" i="14"/>
  <c r="K44" i="14"/>
  <c r="I44" i="14"/>
  <c r="G44" i="14"/>
  <c r="F44" i="14"/>
  <c r="E44" i="14"/>
  <c r="D44" i="14"/>
  <c r="Q43" i="14"/>
  <c r="U43" i="14" s="1"/>
  <c r="O42" i="14"/>
  <c r="N42" i="14"/>
  <c r="M42" i="14"/>
  <c r="L42" i="14"/>
  <c r="K42" i="14"/>
  <c r="J42" i="14"/>
  <c r="I42" i="14"/>
  <c r="H42" i="14"/>
  <c r="G42" i="14"/>
  <c r="F42" i="14"/>
  <c r="E42" i="14"/>
  <c r="D42" i="14"/>
  <c r="Q41" i="14"/>
  <c r="U41" i="14" s="1"/>
  <c r="O40" i="14"/>
  <c r="N40" i="14"/>
  <c r="M40" i="14"/>
  <c r="L40" i="14"/>
  <c r="K40" i="14"/>
  <c r="J40" i="14"/>
  <c r="I40" i="14"/>
  <c r="H40" i="14"/>
  <c r="G40" i="14"/>
  <c r="F40" i="14"/>
  <c r="E40" i="14"/>
  <c r="D40" i="14"/>
  <c r="Q39" i="14"/>
  <c r="U39" i="14" s="1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Q37" i="14"/>
  <c r="U37" i="14" s="1"/>
  <c r="O36" i="14"/>
  <c r="N36" i="14"/>
  <c r="M36" i="14"/>
  <c r="L36" i="14"/>
  <c r="K36" i="14"/>
  <c r="J36" i="14"/>
  <c r="I36" i="14"/>
  <c r="H36" i="14"/>
  <c r="G36" i="14"/>
  <c r="F36" i="14"/>
  <c r="E36" i="14"/>
  <c r="D36" i="14"/>
  <c r="Q35" i="14"/>
  <c r="U35" i="14" s="1"/>
  <c r="O34" i="14"/>
  <c r="N34" i="14"/>
  <c r="M34" i="14"/>
  <c r="L34" i="14"/>
  <c r="K34" i="14"/>
  <c r="J34" i="14"/>
  <c r="I34" i="14"/>
  <c r="H34" i="14"/>
  <c r="G34" i="14"/>
  <c r="E34" i="14"/>
  <c r="D34" i="14"/>
  <c r="E32" i="14"/>
  <c r="D32" i="14"/>
  <c r="Q31" i="14"/>
  <c r="U31" i="14" s="1"/>
  <c r="O30" i="14"/>
  <c r="N30" i="14"/>
  <c r="M30" i="14"/>
  <c r="L30" i="14"/>
  <c r="K30" i="14"/>
  <c r="J30" i="14"/>
  <c r="H30" i="14"/>
  <c r="G30" i="14"/>
  <c r="F30" i="14"/>
  <c r="E30" i="14"/>
  <c r="D30" i="14"/>
  <c r="N28" i="14"/>
  <c r="J28" i="14"/>
  <c r="O28" i="14"/>
  <c r="I28" i="14"/>
  <c r="H28" i="14"/>
  <c r="G28" i="14"/>
  <c r="F28" i="14"/>
  <c r="E28" i="14"/>
  <c r="D28" i="14"/>
  <c r="O27" i="14"/>
  <c r="O26" i="14" s="1"/>
  <c r="N27" i="14"/>
  <c r="N26" i="14" s="1"/>
  <c r="M27" i="14"/>
  <c r="M26" i="14" s="1"/>
  <c r="L27" i="14"/>
  <c r="L26" i="14" s="1"/>
  <c r="K27" i="14"/>
  <c r="K26" i="14" s="1"/>
  <c r="J27" i="14"/>
  <c r="J26" i="14" s="1"/>
  <c r="I27" i="14"/>
  <c r="I26" i="14" s="1"/>
  <c r="H27" i="14"/>
  <c r="H26" i="14" s="1"/>
  <c r="G26" i="14"/>
  <c r="F26" i="14"/>
  <c r="E26" i="14"/>
  <c r="D26" i="14"/>
  <c r="Q25" i="14"/>
  <c r="U25" i="14" s="1"/>
  <c r="O24" i="14"/>
  <c r="N24" i="14"/>
  <c r="M24" i="14"/>
  <c r="L24" i="14"/>
  <c r="K24" i="14"/>
  <c r="J24" i="14"/>
  <c r="I24" i="14"/>
  <c r="H24" i="14"/>
  <c r="G24" i="14"/>
  <c r="F24" i="14"/>
  <c r="E24" i="14"/>
  <c r="D24" i="14"/>
  <c r="J22" i="14"/>
  <c r="J20" i="14" s="1"/>
  <c r="G22" i="14"/>
  <c r="G20" i="14" s="1"/>
  <c r="M22" i="14"/>
  <c r="M20" i="14" s="1"/>
  <c r="L22" i="14"/>
  <c r="L20" i="14" s="1"/>
  <c r="K22" i="14"/>
  <c r="K20" i="14" s="1"/>
  <c r="I22" i="14"/>
  <c r="I20" i="14" s="1"/>
  <c r="H22" i="14"/>
  <c r="H20" i="14" s="1"/>
  <c r="E22" i="14"/>
  <c r="E20" i="14" s="1"/>
  <c r="O22" i="14"/>
  <c r="O20" i="14" s="1"/>
  <c r="Q21" i="14"/>
  <c r="D20" i="14"/>
  <c r="O19" i="14"/>
  <c r="O18" i="14" s="1"/>
  <c r="N19" i="14"/>
  <c r="N18" i="14" s="1"/>
  <c r="M19" i="14"/>
  <c r="M18" i="14" s="1"/>
  <c r="L19" i="14"/>
  <c r="L18" i="14" s="1"/>
  <c r="K19" i="14"/>
  <c r="K18" i="14" s="1"/>
  <c r="J19" i="14"/>
  <c r="J18" i="14" s="1"/>
  <c r="I19" i="14"/>
  <c r="I18" i="14" s="1"/>
  <c r="H19" i="14"/>
  <c r="H18" i="14" s="1"/>
  <c r="G19" i="14"/>
  <c r="G18" i="14" s="1"/>
  <c r="F19" i="14"/>
  <c r="F18" i="14" s="1"/>
  <c r="E19" i="14"/>
  <c r="E18" i="14" s="1"/>
  <c r="D18" i="14"/>
  <c r="Q15" i="14"/>
  <c r="O13" i="14"/>
  <c r="N13" i="14"/>
  <c r="M13" i="14"/>
  <c r="L13" i="14"/>
  <c r="K13" i="14"/>
  <c r="G13" i="14"/>
  <c r="F13" i="14"/>
  <c r="E13" i="14"/>
  <c r="D13" i="14"/>
  <c r="J11" i="14"/>
  <c r="J13" i="14" s="1"/>
  <c r="I11" i="14"/>
  <c r="I13" i="14" s="1"/>
  <c r="H11" i="14"/>
  <c r="H13" i="14" s="1"/>
  <c r="H53" i="14" s="1"/>
  <c r="H54" i="14" s="1"/>
  <c r="Q10" i="14"/>
  <c r="Q9" i="14"/>
  <c r="U9" i="14" s="1"/>
  <c r="Q8" i="14"/>
  <c r="Q7" i="14"/>
  <c r="C2" i="14"/>
  <c r="O23" i="11"/>
  <c r="M49" i="11"/>
  <c r="H49" i="11"/>
  <c r="L27" i="11"/>
  <c r="F27" i="11"/>
  <c r="G27" i="11"/>
  <c r="H27" i="11"/>
  <c r="I27" i="11"/>
  <c r="J27" i="11"/>
  <c r="K27" i="11"/>
  <c r="M27" i="11"/>
  <c r="N27" i="11"/>
  <c r="O27" i="11"/>
  <c r="E27" i="11"/>
  <c r="E35" i="11"/>
  <c r="F35" i="11" s="1"/>
  <c r="Q31" i="11"/>
  <c r="M29" i="11"/>
  <c r="N29" i="11" s="1"/>
  <c r="J29" i="11"/>
  <c r="K29" i="11" s="1"/>
  <c r="L29" i="11" s="1"/>
  <c r="D27" i="11"/>
  <c r="S51" i="11"/>
  <c r="S25" i="11"/>
  <c r="S15" i="11"/>
  <c r="S9" i="11"/>
  <c r="S13" i="11" s="1"/>
  <c r="S11" i="16" l="1"/>
  <c r="S13" i="16" s="1"/>
  <c r="Q13" i="16"/>
  <c r="AA13" i="16" s="1"/>
  <c r="Q45" i="14"/>
  <c r="U45" i="14" s="1"/>
  <c r="F49" i="16"/>
  <c r="E56" i="16"/>
  <c r="E58" i="16" s="1"/>
  <c r="E64" i="16" s="1"/>
  <c r="Q24" i="16"/>
  <c r="F56" i="16"/>
  <c r="F58" i="16" s="1"/>
  <c r="F64" i="16" s="1"/>
  <c r="G50" i="16"/>
  <c r="G54" i="16" s="1"/>
  <c r="G56" i="16" s="1"/>
  <c r="G58" i="16" s="1"/>
  <c r="G64" i="16" s="1"/>
  <c r="H44" i="14"/>
  <c r="S27" i="16"/>
  <c r="Q28" i="16"/>
  <c r="Q22" i="16" s="1"/>
  <c r="Q47" i="16"/>
  <c r="Y58" i="16"/>
  <c r="Q20" i="16"/>
  <c r="Q18" i="16" s="1"/>
  <c r="Q26" i="16"/>
  <c r="Q30" i="16"/>
  <c r="G34" i="16"/>
  <c r="H35" i="16"/>
  <c r="H42" i="16" s="1"/>
  <c r="S52" i="16"/>
  <c r="Q11" i="14"/>
  <c r="U11" i="14" s="1"/>
  <c r="E51" i="14"/>
  <c r="E53" i="14" s="1"/>
  <c r="U7" i="14"/>
  <c r="Q19" i="14"/>
  <c r="U19" i="14" s="1"/>
  <c r="Q27" i="14"/>
  <c r="U27" i="14" s="1"/>
  <c r="W53" i="14"/>
  <c r="W57" i="14" s="1"/>
  <c r="W20" i="14"/>
  <c r="S53" i="14"/>
  <c r="U8" i="14"/>
  <c r="U10" i="14"/>
  <c r="M23" i="15"/>
  <c r="M24" i="15" s="1"/>
  <c r="E23" i="15"/>
  <c r="E24" i="15" s="1"/>
  <c r="N30" i="15"/>
  <c r="N65" i="15"/>
  <c r="N45" i="15"/>
  <c r="M66" i="15"/>
  <c r="L47" i="15"/>
  <c r="N76" i="15"/>
  <c r="L66" i="15"/>
  <c r="D66" i="15"/>
  <c r="J23" i="15"/>
  <c r="J24" i="15" s="1"/>
  <c r="B23" i="15"/>
  <c r="B24" i="15" s="1"/>
  <c r="F47" i="15"/>
  <c r="J66" i="15"/>
  <c r="N61" i="15"/>
  <c r="E66" i="15"/>
  <c r="N21" i="15"/>
  <c r="D47" i="15"/>
  <c r="I23" i="15"/>
  <c r="H90" i="15"/>
  <c r="F90" i="15"/>
  <c r="K47" i="15"/>
  <c r="F23" i="15"/>
  <c r="H23" i="15"/>
  <c r="J90" i="15"/>
  <c r="B90" i="15"/>
  <c r="G23" i="15"/>
  <c r="B66" i="15"/>
  <c r="H66" i="15"/>
  <c r="H47" i="15"/>
  <c r="I66" i="15"/>
  <c r="N55" i="15"/>
  <c r="G66" i="15"/>
  <c r="N40" i="15"/>
  <c r="G47" i="15"/>
  <c r="G94" i="15" s="1"/>
  <c r="D90" i="15"/>
  <c r="J47" i="15"/>
  <c r="B47" i="15"/>
  <c r="L23" i="15"/>
  <c r="D23" i="15"/>
  <c r="K90" i="15"/>
  <c r="C90" i="15"/>
  <c r="L90" i="15"/>
  <c r="K66" i="15"/>
  <c r="C66" i="15"/>
  <c r="C94" i="15" s="1"/>
  <c r="I47" i="15"/>
  <c r="I90" i="15"/>
  <c r="G90" i="15"/>
  <c r="M90" i="15"/>
  <c r="N85" i="15"/>
  <c r="E90" i="15"/>
  <c r="F66" i="15"/>
  <c r="M47" i="15"/>
  <c r="M94" i="15" s="1"/>
  <c r="E47" i="15"/>
  <c r="N13" i="15"/>
  <c r="U21" i="14"/>
  <c r="F34" i="14"/>
  <c r="D51" i="14"/>
  <c r="D53" i="14" s="1"/>
  <c r="M28" i="14"/>
  <c r="Q42" i="14"/>
  <c r="Q34" i="14"/>
  <c r="Q40" i="14"/>
  <c r="H48" i="14"/>
  <c r="F22" i="14"/>
  <c r="F20" i="14" s="1"/>
  <c r="N22" i="14"/>
  <c r="N20" i="14" s="1"/>
  <c r="Q36" i="14"/>
  <c r="Q38" i="14"/>
  <c r="G47" i="14"/>
  <c r="L49" i="14"/>
  <c r="S53" i="11"/>
  <c r="L49" i="11"/>
  <c r="Q13" i="14" l="1"/>
  <c r="Q44" i="14"/>
  <c r="S24" i="16"/>
  <c r="E66" i="16"/>
  <c r="F66" i="16" s="1"/>
  <c r="G66" i="16" s="1"/>
  <c r="G49" i="16"/>
  <c r="H50" i="16"/>
  <c r="H54" i="16" s="1"/>
  <c r="G60" i="16"/>
  <c r="I35" i="16"/>
  <c r="I42" i="16" s="1"/>
  <c r="H34" i="16"/>
  <c r="K28" i="14"/>
  <c r="L29" i="14"/>
  <c r="U13" i="14"/>
  <c r="Q26" i="14"/>
  <c r="Q24" i="14" s="1"/>
  <c r="Q18" i="14"/>
  <c r="E55" i="14"/>
  <c r="H94" i="15"/>
  <c r="L94" i="15"/>
  <c r="F94" i="15"/>
  <c r="F96" i="15" s="1"/>
  <c r="F107" i="15" s="1"/>
  <c r="N47" i="15"/>
  <c r="N66" i="15"/>
  <c r="J94" i="15"/>
  <c r="J96" i="15" s="1"/>
  <c r="J107" i="15" s="1"/>
  <c r="K94" i="15"/>
  <c r="K96" i="15" s="1"/>
  <c r="K107" i="15" s="1"/>
  <c r="N90" i="15"/>
  <c r="D94" i="15"/>
  <c r="H24" i="15"/>
  <c r="H96" i="15"/>
  <c r="H107" i="15" s="1"/>
  <c r="C96" i="15"/>
  <c r="C107" i="15" s="1"/>
  <c r="M96" i="15"/>
  <c r="M107" i="15" s="1"/>
  <c r="F24" i="15"/>
  <c r="N23" i="15"/>
  <c r="E94" i="15"/>
  <c r="D24" i="15"/>
  <c r="L24" i="15"/>
  <c r="L96" i="15"/>
  <c r="G24" i="15"/>
  <c r="G96" i="15"/>
  <c r="G107" i="15" s="1"/>
  <c r="I94" i="15"/>
  <c r="I96" i="15" s="1"/>
  <c r="B94" i="15"/>
  <c r="I24" i="15"/>
  <c r="L48" i="14"/>
  <c r="F32" i="14"/>
  <c r="G51" i="14"/>
  <c r="Q49" i="14"/>
  <c r="H47" i="14"/>
  <c r="G46" i="14"/>
  <c r="F51" i="14"/>
  <c r="F53" i="14" s="1"/>
  <c r="Q23" i="14"/>
  <c r="D22" i="14"/>
  <c r="K48" i="11"/>
  <c r="E48" i="11"/>
  <c r="F48" i="11"/>
  <c r="D48" i="11"/>
  <c r="K44" i="11"/>
  <c r="O48" i="11"/>
  <c r="N48" i="11"/>
  <c r="M48" i="11"/>
  <c r="L48" i="11"/>
  <c r="J48" i="11"/>
  <c r="I48" i="11"/>
  <c r="H48" i="11"/>
  <c r="G48" i="11"/>
  <c r="E47" i="11"/>
  <c r="D46" i="11"/>
  <c r="H56" i="16" l="1"/>
  <c r="H58" i="16" s="1"/>
  <c r="I50" i="16"/>
  <c r="I54" i="16" s="1"/>
  <c r="I56" i="16" s="1"/>
  <c r="I58" i="16" s="1"/>
  <c r="I64" i="16" s="1"/>
  <c r="H49" i="16"/>
  <c r="J35" i="16"/>
  <c r="J42" i="16" s="1"/>
  <c r="I34" i="16"/>
  <c r="I49" i="16"/>
  <c r="L28" i="14"/>
  <c r="Q29" i="14"/>
  <c r="F55" i="14"/>
  <c r="N94" i="15"/>
  <c r="N96" i="15" s="1"/>
  <c r="N107" i="15" s="1"/>
  <c r="L107" i="15"/>
  <c r="D96" i="15"/>
  <c r="D107" i="15" s="1"/>
  <c r="B96" i="15"/>
  <c r="B107" i="15" s="1"/>
  <c r="I107" i="15"/>
  <c r="E96" i="15"/>
  <c r="E107" i="15" s="1"/>
  <c r="N24" i="15"/>
  <c r="G53" i="14"/>
  <c r="I47" i="14"/>
  <c r="H46" i="14"/>
  <c r="U49" i="14"/>
  <c r="Q48" i="14"/>
  <c r="U23" i="14"/>
  <c r="Q22" i="14"/>
  <c r="Q20" i="14" s="1"/>
  <c r="G32" i="14"/>
  <c r="E46" i="11"/>
  <c r="F47" i="11"/>
  <c r="H64" i="16" l="1"/>
  <c r="H66" i="16" s="1"/>
  <c r="H60" i="16"/>
  <c r="J50" i="16"/>
  <c r="J54" i="16" s="1"/>
  <c r="J56" i="16" s="1"/>
  <c r="J58" i="16" s="1"/>
  <c r="J64" i="16" s="1"/>
  <c r="I66" i="16"/>
  <c r="I60" i="16"/>
  <c r="J34" i="16"/>
  <c r="K35" i="16"/>
  <c r="K42" i="16" s="1"/>
  <c r="U29" i="14"/>
  <c r="Q28" i="14"/>
  <c r="G55" i="14"/>
  <c r="J47" i="14"/>
  <c r="I46" i="14"/>
  <c r="H32" i="14"/>
  <c r="I51" i="14"/>
  <c r="I53" i="14" s="1"/>
  <c r="G47" i="11"/>
  <c r="F46" i="11"/>
  <c r="K50" i="16" l="1"/>
  <c r="K54" i="16" s="1"/>
  <c r="K56" i="16" s="1"/>
  <c r="K58" i="16" s="1"/>
  <c r="K64" i="16" s="1"/>
  <c r="J49" i="16"/>
  <c r="J66" i="16"/>
  <c r="J60" i="16"/>
  <c r="K34" i="16"/>
  <c r="L35" i="16"/>
  <c r="L42" i="16" s="1"/>
  <c r="L50" i="16"/>
  <c r="L54" i="16" s="1"/>
  <c r="J46" i="14"/>
  <c r="K47" i="14"/>
  <c r="H55" i="14"/>
  <c r="I55" i="14" s="1"/>
  <c r="I32" i="14"/>
  <c r="H47" i="11"/>
  <c r="G46" i="11"/>
  <c r="K49" i="16" l="1"/>
  <c r="K66" i="16"/>
  <c r="L56" i="16"/>
  <c r="L58" i="16" s="1"/>
  <c r="L64" i="16" s="1"/>
  <c r="K60" i="16"/>
  <c r="M50" i="16"/>
  <c r="M54" i="16" s="1"/>
  <c r="L49" i="16"/>
  <c r="L34" i="16"/>
  <c r="M35" i="16"/>
  <c r="M42" i="16" s="1"/>
  <c r="K51" i="14"/>
  <c r="K53" i="14" s="1"/>
  <c r="J32" i="14"/>
  <c r="K46" i="14"/>
  <c r="L47" i="14"/>
  <c r="J51" i="14"/>
  <c r="H46" i="11"/>
  <c r="I47" i="11"/>
  <c r="L66" i="16" l="1"/>
  <c r="M56" i="16"/>
  <c r="M58" i="16" s="1"/>
  <c r="M64" i="16" s="1"/>
  <c r="M34" i="16"/>
  <c r="N35" i="16"/>
  <c r="N42" i="16" s="1"/>
  <c r="N50" i="16"/>
  <c r="N54" i="16" s="1"/>
  <c r="M49" i="16"/>
  <c r="L60" i="16"/>
  <c r="M60" i="16" s="1"/>
  <c r="L51" i="14"/>
  <c r="L53" i="14" s="1"/>
  <c r="K32" i="14"/>
  <c r="J53" i="14"/>
  <c r="J55" i="14" s="1"/>
  <c r="K55" i="14" s="1"/>
  <c r="L46" i="14"/>
  <c r="M47" i="14"/>
  <c r="I46" i="11"/>
  <c r="J47" i="11"/>
  <c r="M66" i="16" l="1"/>
  <c r="N56" i="16"/>
  <c r="N58" i="16" s="1"/>
  <c r="N64" i="16" s="1"/>
  <c r="O50" i="16"/>
  <c r="O54" i="16" s="1"/>
  <c r="N49" i="16"/>
  <c r="N34" i="16"/>
  <c r="O35" i="16"/>
  <c r="O42" i="16" s="1"/>
  <c r="O56" i="16" s="1"/>
  <c r="O58" i="16" s="1"/>
  <c r="O64" i="16" s="1"/>
  <c r="Q66" i="16" s="1"/>
  <c r="L32" i="14"/>
  <c r="M51" i="14"/>
  <c r="M53" i="14" s="1"/>
  <c r="M46" i="14"/>
  <c r="N47" i="14"/>
  <c r="L55" i="14"/>
  <c r="J46" i="11"/>
  <c r="K47" i="11"/>
  <c r="N66" i="16" l="1"/>
  <c r="O66" i="16" s="1"/>
  <c r="N60" i="16"/>
  <c r="I32" i="16"/>
  <c r="Q35" i="16"/>
  <c r="Q42" i="16" s="1"/>
  <c r="AA35" i="16"/>
  <c r="Q50" i="16"/>
  <c r="Q54" i="16" s="1"/>
  <c r="S54" i="16" s="1"/>
  <c r="M55" i="14"/>
  <c r="N46" i="14"/>
  <c r="O47" i="14"/>
  <c r="M32" i="14"/>
  <c r="L47" i="11"/>
  <c r="K46" i="11"/>
  <c r="S56" i="16" l="1"/>
  <c r="S42" i="16"/>
  <c r="Q56" i="16"/>
  <c r="AA56" i="16" s="1"/>
  <c r="Q58" i="16"/>
  <c r="Q64" i="16" s="1"/>
  <c r="O60" i="16"/>
  <c r="Q49" i="16"/>
  <c r="S35" i="16"/>
  <c r="Q34" i="16"/>
  <c r="Q32" i="16" s="1"/>
  <c r="N32" i="14"/>
  <c r="N51" i="14"/>
  <c r="N53" i="14" s="1"/>
  <c r="N55" i="14" s="1"/>
  <c r="O51" i="14"/>
  <c r="O53" i="14" s="1"/>
  <c r="O46" i="14"/>
  <c r="Q47" i="14"/>
  <c r="M47" i="11"/>
  <c r="L46" i="11"/>
  <c r="S58" i="16" l="1"/>
  <c r="Q46" i="14"/>
  <c r="O55" i="14"/>
  <c r="O32" i="14"/>
  <c r="I30" i="14"/>
  <c r="Q33" i="14"/>
  <c r="Y33" i="14"/>
  <c r="N47" i="11"/>
  <c r="M46" i="11"/>
  <c r="U33" i="14" l="1"/>
  <c r="Q32" i="14"/>
  <c r="Q30" i="14" s="1"/>
  <c r="Q51" i="14"/>
  <c r="Q53" i="14" s="1"/>
  <c r="N46" i="11"/>
  <c r="O47" i="11"/>
  <c r="O46" i="11" l="1"/>
  <c r="Q47" i="11"/>
  <c r="F19" i="11" l="1"/>
  <c r="G19" i="11"/>
  <c r="H19" i="11"/>
  <c r="I19" i="11"/>
  <c r="J19" i="11"/>
  <c r="K19" i="11"/>
  <c r="L19" i="11"/>
  <c r="M19" i="11"/>
  <c r="N19" i="11"/>
  <c r="O19" i="11"/>
  <c r="E19" i="11"/>
  <c r="J23" i="11"/>
  <c r="O21" i="11"/>
  <c r="N21" i="11"/>
  <c r="G23" i="11"/>
  <c r="F21" i="11"/>
  <c r="F23" i="11" s="1"/>
  <c r="E21" i="11"/>
  <c r="D21" i="11"/>
  <c r="D23" i="11" s="1"/>
  <c r="D51" i="11" s="1"/>
  <c r="Q19" i="11" l="1"/>
  <c r="Q15" i="11" l="1"/>
  <c r="I10" i="12" l="1"/>
  <c r="I11" i="12"/>
  <c r="B12" i="12"/>
  <c r="B20" i="12" s="1"/>
  <c r="B21" i="12" s="1"/>
  <c r="C12" i="12"/>
  <c r="C20" i="12" s="1"/>
  <c r="C21" i="12" s="1"/>
  <c r="D12" i="12"/>
  <c r="E12" i="12"/>
  <c r="F12" i="12"/>
  <c r="G12" i="12"/>
  <c r="G20" i="12" s="1"/>
  <c r="G21" i="12" s="1"/>
  <c r="H12" i="12"/>
  <c r="H20" i="12" s="1"/>
  <c r="H21" i="12" s="1"/>
  <c r="I12" i="12"/>
  <c r="I20" i="12" s="1"/>
  <c r="I21" i="12" s="1"/>
  <c r="I13" i="12"/>
  <c r="I14" i="12"/>
  <c r="I15" i="12"/>
  <c r="I17" i="12"/>
  <c r="I18" i="12"/>
  <c r="I19" i="12" s="1"/>
  <c r="B19" i="12"/>
  <c r="C19" i="12"/>
  <c r="D19" i="12"/>
  <c r="E19" i="12"/>
  <c r="F19" i="12"/>
  <c r="G19" i="12"/>
  <c r="H19" i="12"/>
  <c r="D20" i="12"/>
  <c r="D21" i="12" s="1"/>
  <c r="E20" i="12"/>
  <c r="F20" i="12"/>
  <c r="E21" i="12"/>
  <c r="E75" i="12" s="1"/>
  <c r="E88" i="12" s="1"/>
  <c r="F21" i="12"/>
  <c r="I25" i="12"/>
  <c r="I27" i="12" s="1"/>
  <c r="I41" i="12" s="1"/>
  <c r="I26" i="12"/>
  <c r="B27" i="12"/>
  <c r="B41" i="12" s="1"/>
  <c r="C27" i="12"/>
  <c r="C41" i="12" s="1"/>
  <c r="D27" i="12"/>
  <c r="E27" i="12"/>
  <c r="F27" i="12"/>
  <c r="G27" i="12"/>
  <c r="G41" i="12" s="1"/>
  <c r="G74" i="12" s="1"/>
  <c r="H27" i="12"/>
  <c r="H41" i="12" s="1"/>
  <c r="H74" i="12" s="1"/>
  <c r="I29" i="12"/>
  <c r="I37" i="12" s="1"/>
  <c r="I30" i="12"/>
  <c r="I32" i="12"/>
  <c r="B33" i="12"/>
  <c r="C33" i="12"/>
  <c r="D33" i="12"/>
  <c r="E33" i="12"/>
  <c r="F33" i="12"/>
  <c r="G33" i="12"/>
  <c r="G37" i="12" s="1"/>
  <c r="H33" i="12"/>
  <c r="H37" i="12" s="1"/>
  <c r="I33" i="12"/>
  <c r="I34" i="12"/>
  <c r="I35" i="12"/>
  <c r="I36" i="12"/>
  <c r="B37" i="12"/>
  <c r="C37" i="12"/>
  <c r="D37" i="12"/>
  <c r="E37" i="12"/>
  <c r="E41" i="12" s="1"/>
  <c r="E74" i="12" s="1"/>
  <c r="F37" i="12"/>
  <c r="F41" i="12" s="1"/>
  <c r="I39" i="12"/>
  <c r="B40" i="12"/>
  <c r="C40" i="12"/>
  <c r="D40" i="12"/>
  <c r="E40" i="12"/>
  <c r="F40" i="12"/>
  <c r="G40" i="12"/>
  <c r="H40" i="12"/>
  <c r="I40" i="12"/>
  <c r="D41" i="12"/>
  <c r="D74" i="12" s="1"/>
  <c r="I44" i="12"/>
  <c r="B45" i="12"/>
  <c r="B59" i="12" s="1"/>
  <c r="C45" i="12"/>
  <c r="C59" i="12" s="1"/>
  <c r="D45" i="12"/>
  <c r="E45" i="12"/>
  <c r="F45" i="12"/>
  <c r="G45" i="12"/>
  <c r="G59" i="12" s="1"/>
  <c r="H45" i="12"/>
  <c r="H59" i="12" s="1"/>
  <c r="I45" i="12"/>
  <c r="I47" i="12"/>
  <c r="I48" i="12"/>
  <c r="B49" i="12"/>
  <c r="C49" i="12"/>
  <c r="D49" i="12"/>
  <c r="E49" i="12"/>
  <c r="F49" i="12"/>
  <c r="F59" i="12" s="1"/>
  <c r="G49" i="12"/>
  <c r="H49" i="12"/>
  <c r="I49" i="12"/>
  <c r="I59" i="12" s="1"/>
  <c r="I50" i="12"/>
  <c r="I52" i="12"/>
  <c r="I53" i="12"/>
  <c r="B54" i="12"/>
  <c r="C54" i="12"/>
  <c r="D54" i="12"/>
  <c r="E54" i="12"/>
  <c r="F54" i="12"/>
  <c r="G54" i="12"/>
  <c r="H54" i="12"/>
  <c r="I54" i="12"/>
  <c r="I56" i="12"/>
  <c r="I57" i="12"/>
  <c r="I58" i="12" s="1"/>
  <c r="B58" i="12"/>
  <c r="C58" i="12"/>
  <c r="D58" i="12"/>
  <c r="E58" i="12"/>
  <c r="F58" i="12"/>
  <c r="G58" i="12"/>
  <c r="H58" i="12"/>
  <c r="D59" i="12"/>
  <c r="E59" i="12"/>
  <c r="I62" i="12"/>
  <c r="B63" i="12"/>
  <c r="C63" i="12"/>
  <c r="C70" i="12" s="1"/>
  <c r="D63" i="12"/>
  <c r="D70" i="12" s="1"/>
  <c r="E63" i="12"/>
  <c r="F63" i="12"/>
  <c r="G63" i="12"/>
  <c r="H63" i="12"/>
  <c r="I63" i="12"/>
  <c r="I65" i="12"/>
  <c r="B66" i="12"/>
  <c r="B70" i="12" s="1"/>
  <c r="C66" i="12"/>
  <c r="D66" i="12"/>
  <c r="E66" i="12"/>
  <c r="F66" i="12"/>
  <c r="G66" i="12"/>
  <c r="G70" i="12" s="1"/>
  <c r="H66" i="12"/>
  <c r="I66" i="12"/>
  <c r="I68" i="12"/>
  <c r="B69" i="12"/>
  <c r="C69" i="12"/>
  <c r="D69" i="12"/>
  <c r="E69" i="12"/>
  <c r="F69" i="12"/>
  <c r="G69" i="12"/>
  <c r="H69" i="12"/>
  <c r="I69" i="12"/>
  <c r="E70" i="12"/>
  <c r="F70" i="12"/>
  <c r="H70" i="12"/>
  <c r="I70" i="12"/>
  <c r="I72" i="12"/>
  <c r="B73" i="12"/>
  <c r="C73" i="12"/>
  <c r="D73" i="12"/>
  <c r="E73" i="12"/>
  <c r="F73" i="12"/>
  <c r="G73" i="12"/>
  <c r="H73" i="12"/>
  <c r="I73" i="12"/>
  <c r="I79" i="12"/>
  <c r="B80" i="12"/>
  <c r="C80" i="12"/>
  <c r="C81" i="12" s="1"/>
  <c r="C87" i="12" s="1"/>
  <c r="D80" i="12"/>
  <c r="E80" i="12"/>
  <c r="F80" i="12"/>
  <c r="G80" i="12"/>
  <c r="G81" i="12" s="1"/>
  <c r="G87" i="12" s="1"/>
  <c r="H80" i="12"/>
  <c r="I80" i="12"/>
  <c r="B81" i="12"/>
  <c r="D81" i="12"/>
  <c r="E81" i="12"/>
  <c r="F81" i="12"/>
  <c r="H81" i="12"/>
  <c r="H87" i="12" s="1"/>
  <c r="I81" i="12"/>
  <c r="I84" i="12"/>
  <c r="B85" i="12"/>
  <c r="B86" i="12" s="1"/>
  <c r="B87" i="12" s="1"/>
  <c r="C85" i="12"/>
  <c r="D85" i="12"/>
  <c r="E85" i="12"/>
  <c r="F85" i="12"/>
  <c r="F86" i="12" s="1"/>
  <c r="F87" i="12" s="1"/>
  <c r="G85" i="12"/>
  <c r="H85" i="12"/>
  <c r="I85" i="12"/>
  <c r="C86" i="12"/>
  <c r="D86" i="12"/>
  <c r="E86" i="12"/>
  <c r="E87" i="12" s="1"/>
  <c r="G86" i="12"/>
  <c r="H86" i="12"/>
  <c r="I86" i="12"/>
  <c r="D87" i="12"/>
  <c r="I87" i="12"/>
  <c r="Q4" i="11"/>
  <c r="D3" i="11"/>
  <c r="C2" i="11"/>
  <c r="I74" i="12" l="1"/>
  <c r="I75" i="12" s="1"/>
  <c r="I88" i="12" s="1"/>
  <c r="G75" i="12"/>
  <c r="G88" i="12" s="1"/>
  <c r="F74" i="12"/>
  <c r="F75" i="12" s="1"/>
  <c r="F88" i="12" s="1"/>
  <c r="B74" i="12"/>
  <c r="B75" i="12"/>
  <c r="B88" i="12" s="1"/>
  <c r="H75" i="12"/>
  <c r="H88" i="12" s="1"/>
  <c r="C74" i="12"/>
  <c r="C75" i="12" s="1"/>
  <c r="C88" i="12" s="1"/>
  <c r="D75" i="12"/>
  <c r="D88" i="12" s="1"/>
  <c r="J45" i="11"/>
  <c r="H45" i="11"/>
  <c r="O44" i="11"/>
  <c r="N44" i="11"/>
  <c r="M44" i="11"/>
  <c r="L44" i="11"/>
  <c r="I44" i="11"/>
  <c r="G44" i="11"/>
  <c r="F44" i="11"/>
  <c r="E44" i="11"/>
  <c r="D44" i="11"/>
  <c r="Q41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Q43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Q39" i="11"/>
  <c r="U39" i="11" s="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Q37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Q35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E33" i="11"/>
  <c r="E51" i="11" s="1"/>
  <c r="D32" i="11"/>
  <c r="U31" i="11"/>
  <c r="O30" i="11"/>
  <c r="N30" i="11"/>
  <c r="M30" i="11"/>
  <c r="L30" i="11"/>
  <c r="K30" i="11"/>
  <c r="J30" i="11"/>
  <c r="H30" i="11"/>
  <c r="G30" i="11"/>
  <c r="F30" i="11"/>
  <c r="E30" i="11"/>
  <c r="D30" i="11"/>
  <c r="Q29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Q27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Q25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Q23" i="11"/>
  <c r="O22" i="11"/>
  <c r="O20" i="11" s="1"/>
  <c r="N22" i="11"/>
  <c r="N20" i="11" s="1"/>
  <c r="M22" i="11"/>
  <c r="M20" i="11" s="1"/>
  <c r="L22" i="11"/>
  <c r="L20" i="11" s="1"/>
  <c r="K22" i="11"/>
  <c r="K20" i="11" s="1"/>
  <c r="J22" i="11"/>
  <c r="J20" i="11" s="1"/>
  <c r="I22" i="11"/>
  <c r="I20" i="11" s="1"/>
  <c r="H22" i="11"/>
  <c r="H20" i="11" s="1"/>
  <c r="G22" i="11"/>
  <c r="G20" i="11" s="1"/>
  <c r="F22" i="11"/>
  <c r="F20" i="11" s="1"/>
  <c r="E22" i="11"/>
  <c r="E20" i="11" s="1"/>
  <c r="D22" i="11"/>
  <c r="Q21" i="11"/>
  <c r="D20" i="11"/>
  <c r="M18" i="11"/>
  <c r="L18" i="11"/>
  <c r="K18" i="11"/>
  <c r="J18" i="11"/>
  <c r="I18" i="11"/>
  <c r="H18" i="11"/>
  <c r="G18" i="11"/>
  <c r="F18" i="11"/>
  <c r="E18" i="11"/>
  <c r="O18" i="11"/>
  <c r="D18" i="11"/>
  <c r="O13" i="11"/>
  <c r="N13" i="11"/>
  <c r="M13" i="11"/>
  <c r="L13" i="11"/>
  <c r="K13" i="11"/>
  <c r="G13" i="11"/>
  <c r="F13" i="11"/>
  <c r="E13" i="11"/>
  <c r="D13" i="11"/>
  <c r="J11" i="11"/>
  <c r="J13" i="11" s="1"/>
  <c r="I11" i="11"/>
  <c r="I13" i="11" s="1"/>
  <c r="H11" i="11"/>
  <c r="Q10" i="11"/>
  <c r="U10" i="11" s="1"/>
  <c r="Q9" i="11"/>
  <c r="U9" i="11" s="1"/>
  <c r="Q8" i="11"/>
  <c r="U8" i="11" s="1"/>
  <c r="Q7" i="11"/>
  <c r="U23" i="11" l="1"/>
  <c r="U37" i="11"/>
  <c r="U41" i="11"/>
  <c r="U27" i="11"/>
  <c r="H44" i="11"/>
  <c r="U35" i="11"/>
  <c r="U43" i="11"/>
  <c r="J44" i="11"/>
  <c r="U25" i="11"/>
  <c r="Q46" i="11"/>
  <c r="U29" i="11"/>
  <c r="Q22" i="11"/>
  <c r="Q20" i="11" s="1"/>
  <c r="Q11" i="11"/>
  <c r="U11" i="11" s="1"/>
  <c r="Q28" i="11"/>
  <c r="N18" i="11"/>
  <c r="Q40" i="11"/>
  <c r="U21" i="11"/>
  <c r="Q45" i="11"/>
  <c r="U19" i="11"/>
  <c r="Q42" i="11"/>
  <c r="H13" i="11"/>
  <c r="F33" i="11"/>
  <c r="F51" i="11" s="1"/>
  <c r="Q34" i="11"/>
  <c r="Q38" i="11"/>
  <c r="Q49" i="11"/>
  <c r="U7" i="11"/>
  <c r="Q26" i="11"/>
  <c r="Q24" i="11" s="1"/>
  <c r="E53" i="11"/>
  <c r="E32" i="11"/>
  <c r="Q36" i="11"/>
  <c r="Y19" i="11"/>
  <c r="U13" i="11" l="1"/>
  <c r="U45" i="11"/>
  <c r="Q48" i="11"/>
  <c r="Q13" i="11"/>
  <c r="Q44" i="11"/>
  <c r="Q18" i="11"/>
  <c r="F32" i="11"/>
  <c r="F53" i="11"/>
  <c r="G33" i="11"/>
  <c r="G51" i="11" s="1"/>
  <c r="D53" i="11"/>
  <c r="E55" i="11" s="1"/>
  <c r="U49" i="11"/>
  <c r="G32" i="11" l="1"/>
  <c r="H33" i="11"/>
  <c r="H51" i="11" s="1"/>
  <c r="F55" i="11"/>
  <c r="I33" i="11" l="1"/>
  <c r="I51" i="11" s="1"/>
  <c r="H32" i="11"/>
  <c r="H53" i="11"/>
  <c r="G53" i="11"/>
  <c r="G55" i="11" s="1"/>
  <c r="H55" i="11" l="1"/>
  <c r="J33" i="11"/>
  <c r="J51" i="11" s="1"/>
  <c r="I32" i="11"/>
  <c r="I53" i="11"/>
  <c r="I55" i="11" l="1"/>
  <c r="K33" i="11"/>
  <c r="K51" i="11" s="1"/>
  <c r="J32" i="11"/>
  <c r="J53" i="11" l="1"/>
  <c r="J55" i="11" s="1"/>
  <c r="J52" i="11"/>
  <c r="L33" i="11"/>
  <c r="L51" i="11" s="1"/>
  <c r="K32" i="11"/>
  <c r="K53" i="11"/>
  <c r="K55" i="11" l="1"/>
  <c r="L32" i="11"/>
  <c r="L53" i="11"/>
  <c r="M33" i="11"/>
  <c r="M51" i="11" s="1"/>
  <c r="N33" i="11" l="1"/>
  <c r="N51" i="11" s="1"/>
  <c r="M53" i="11"/>
  <c r="L55" i="11"/>
  <c r="M32" i="11"/>
  <c r="N53" i="11" l="1"/>
  <c r="O33" i="11"/>
  <c r="O51" i="11" s="1"/>
  <c r="N32" i="11"/>
  <c r="Y33" i="11"/>
  <c r="M55" i="11"/>
  <c r="N55" i="11" s="1"/>
  <c r="O53" i="11" l="1"/>
  <c r="O55" i="11" s="1"/>
  <c r="O32" i="11"/>
  <c r="I30" i="11"/>
  <c r="Q33" i="11"/>
  <c r="Q51" i="11" s="1"/>
  <c r="F18" i="10"/>
  <c r="O18" i="10"/>
  <c r="E18" i="10"/>
  <c r="Q19" i="10"/>
  <c r="K20" i="10"/>
  <c r="K18" i="10" s="1"/>
  <c r="L20" i="10"/>
  <c r="L18" i="10" s="1"/>
  <c r="M20" i="10"/>
  <c r="M18" i="10" s="1"/>
  <c r="N20" i="10"/>
  <c r="N18" i="10" s="1"/>
  <c r="G20" i="10"/>
  <c r="G18" i="10" s="1"/>
  <c r="W50" i="10"/>
  <c r="S50" i="10"/>
  <c r="J48" i="10"/>
  <c r="J47" i="10" s="1"/>
  <c r="I48" i="10"/>
  <c r="O47" i="10"/>
  <c r="N47" i="10"/>
  <c r="M47" i="10"/>
  <c r="L47" i="10"/>
  <c r="K47" i="10"/>
  <c r="H47" i="10"/>
  <c r="G47" i="10"/>
  <c r="F47" i="10"/>
  <c r="E47" i="10"/>
  <c r="D47" i="10"/>
  <c r="J46" i="10"/>
  <c r="J45" i="10" s="1"/>
  <c r="H46" i="10"/>
  <c r="O45" i="10"/>
  <c r="N45" i="10"/>
  <c r="M45" i="10"/>
  <c r="L45" i="10"/>
  <c r="I45" i="10"/>
  <c r="G45" i="10"/>
  <c r="F45" i="10"/>
  <c r="E45" i="10"/>
  <c r="D45" i="10"/>
  <c r="U44" i="10"/>
  <c r="Q44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Q42" i="10"/>
  <c r="U42" i="10" s="1"/>
  <c r="O41" i="10"/>
  <c r="N41" i="10"/>
  <c r="M41" i="10"/>
  <c r="L41" i="10"/>
  <c r="K41" i="10"/>
  <c r="J41" i="10"/>
  <c r="I41" i="10"/>
  <c r="H41" i="10"/>
  <c r="G41" i="10"/>
  <c r="F41" i="10"/>
  <c r="E41" i="10"/>
  <c r="D41" i="10"/>
  <c r="U40" i="10"/>
  <c r="Q40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U38" i="10"/>
  <c r="Q38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Q36" i="10"/>
  <c r="U36" i="10" s="1"/>
  <c r="O35" i="10"/>
  <c r="N35" i="10"/>
  <c r="M35" i="10"/>
  <c r="L35" i="10"/>
  <c r="K35" i="10"/>
  <c r="J35" i="10"/>
  <c r="I35" i="10"/>
  <c r="H35" i="10"/>
  <c r="G35" i="10"/>
  <c r="F35" i="10"/>
  <c r="E35" i="10"/>
  <c r="D35" i="10"/>
  <c r="O34" i="10"/>
  <c r="E34" i="10"/>
  <c r="E50" i="10" s="1"/>
  <c r="E52" i="10" s="1"/>
  <c r="O33" i="10"/>
  <c r="N33" i="10"/>
  <c r="E33" i="10"/>
  <c r="D33" i="10"/>
  <c r="U32" i="10"/>
  <c r="Q32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Q30" i="10"/>
  <c r="U30" i="10" s="1"/>
  <c r="O29" i="10"/>
  <c r="N29" i="10"/>
  <c r="M29" i="10"/>
  <c r="L29" i="10"/>
  <c r="K29" i="10"/>
  <c r="J29" i="10"/>
  <c r="I29" i="10"/>
  <c r="H29" i="10"/>
  <c r="G29" i="10"/>
  <c r="F29" i="10"/>
  <c r="E29" i="10"/>
  <c r="D29" i="10"/>
  <c r="Q28" i="10"/>
  <c r="U28" i="10" s="1"/>
  <c r="O27" i="10"/>
  <c r="N27" i="10"/>
  <c r="M27" i="10"/>
  <c r="L27" i="10"/>
  <c r="K27" i="10"/>
  <c r="J27" i="10"/>
  <c r="I27" i="10"/>
  <c r="H27" i="10"/>
  <c r="G27" i="10"/>
  <c r="F27" i="10"/>
  <c r="E27" i="10"/>
  <c r="D27" i="10"/>
  <c r="Q26" i="10"/>
  <c r="U26" i="10" s="1"/>
  <c r="O25" i="10"/>
  <c r="N25" i="10"/>
  <c r="M25" i="10"/>
  <c r="L25" i="10"/>
  <c r="K25" i="10"/>
  <c r="J25" i="10"/>
  <c r="I25" i="10"/>
  <c r="H25" i="10"/>
  <c r="G25" i="10"/>
  <c r="F25" i="10"/>
  <c r="E25" i="10"/>
  <c r="D25" i="10"/>
  <c r="Q24" i="10"/>
  <c r="U24" i="10" s="1"/>
  <c r="Q23" i="10"/>
  <c r="O23" i="10"/>
  <c r="O21" i="10" s="1"/>
  <c r="N23" i="10"/>
  <c r="N21" i="10" s="1"/>
  <c r="M23" i="10"/>
  <c r="L23" i="10"/>
  <c r="L21" i="10" s="1"/>
  <c r="K23" i="10"/>
  <c r="J23" i="10"/>
  <c r="J21" i="10" s="1"/>
  <c r="I23" i="10"/>
  <c r="I21" i="10" s="1"/>
  <c r="H23" i="10"/>
  <c r="H21" i="10" s="1"/>
  <c r="G23" i="10"/>
  <c r="G21" i="10" s="1"/>
  <c r="F23" i="10"/>
  <c r="F21" i="10" s="1"/>
  <c r="E23" i="10"/>
  <c r="D23" i="10"/>
  <c r="Q22" i="10"/>
  <c r="Q29" i="10" s="1"/>
  <c r="M21" i="10"/>
  <c r="K21" i="10"/>
  <c r="E21" i="10"/>
  <c r="D21" i="10"/>
  <c r="O50" i="10"/>
  <c r="N50" i="10"/>
  <c r="N52" i="10" s="1"/>
  <c r="D50" i="10"/>
  <c r="D18" i="10"/>
  <c r="W13" i="10"/>
  <c r="W52" i="10" s="1"/>
  <c r="W54" i="10" s="1"/>
  <c r="S13" i="10"/>
  <c r="S52" i="10" s="1"/>
  <c r="S54" i="10" s="1"/>
  <c r="O13" i="10"/>
  <c r="O52" i="10" s="1"/>
  <c r="N13" i="10"/>
  <c r="M13" i="10"/>
  <c r="L13" i="10"/>
  <c r="K13" i="10"/>
  <c r="G13" i="10"/>
  <c r="F13" i="10"/>
  <c r="E13" i="10"/>
  <c r="D13" i="10"/>
  <c r="J11" i="10"/>
  <c r="I11" i="10"/>
  <c r="I13" i="10" s="1"/>
  <c r="I20" i="10" s="1"/>
  <c r="I18" i="10" s="1"/>
  <c r="H11" i="10"/>
  <c r="H13" i="10" s="1"/>
  <c r="H20" i="10" s="1"/>
  <c r="H18" i="10" s="1"/>
  <c r="Q10" i="10"/>
  <c r="U10" i="10" s="1"/>
  <c r="Q9" i="10"/>
  <c r="U9" i="10" s="1"/>
  <c r="Q8" i="10"/>
  <c r="U8" i="10" s="1"/>
  <c r="Q7" i="10"/>
  <c r="Q43" i="10" s="1"/>
  <c r="Q48" i="10" l="1"/>
  <c r="Q47" i="10" s="1"/>
  <c r="Q53" i="11"/>
  <c r="U33" i="11"/>
  <c r="Q32" i="11"/>
  <c r="Q30" i="11" s="1"/>
  <c r="Q11" i="10"/>
  <c r="I47" i="10"/>
  <c r="Q27" i="10"/>
  <c r="D52" i="10"/>
  <c r="E54" i="10" s="1"/>
  <c r="J13" i="10"/>
  <c r="J20" i="10" s="1"/>
  <c r="J18" i="10" s="1"/>
  <c r="Q25" i="10"/>
  <c r="U19" i="10"/>
  <c r="U22" i="10"/>
  <c r="Q41" i="10"/>
  <c r="Q46" i="10"/>
  <c r="U46" i="10" s="1"/>
  <c r="Z19" i="10"/>
  <c r="Q37" i="10"/>
  <c r="Q39" i="10"/>
  <c r="U7" i="10"/>
  <c r="F34" i="10"/>
  <c r="Q35" i="10"/>
  <c r="Q21" i="10"/>
  <c r="H45" i="10"/>
  <c r="F33" i="9"/>
  <c r="G33" i="9"/>
  <c r="H33" i="9"/>
  <c r="I33" i="9"/>
  <c r="J33" i="9" s="1"/>
  <c r="K33" i="9" s="1"/>
  <c r="L33" i="9" s="1"/>
  <c r="M33" i="9" s="1"/>
  <c r="O33" i="9" s="1"/>
  <c r="E33" i="9"/>
  <c r="Z19" i="9"/>
  <c r="U48" i="10" l="1"/>
  <c r="Q20" i="10"/>
  <c r="O17" i="10" s="1"/>
  <c r="N17" i="10" s="1"/>
  <c r="U11" i="10"/>
  <c r="U13" i="10" s="1"/>
  <c r="Q13" i="10"/>
  <c r="Q50" i="10"/>
  <c r="Q18" i="10"/>
  <c r="F50" i="10"/>
  <c r="G34" i="10"/>
  <c r="F33" i="10"/>
  <c r="Q45" i="10"/>
  <c r="Q33" i="9"/>
  <c r="Z33" i="9"/>
  <c r="F52" i="10" l="1"/>
  <c r="F54" i="10" s="1"/>
  <c r="G33" i="10"/>
  <c r="G50" i="10"/>
  <c r="G52" i="10" s="1"/>
  <c r="H34" i="10"/>
  <c r="Q8" i="9"/>
  <c r="Q7" i="9"/>
  <c r="Q25" i="9"/>
  <c r="Q27" i="9"/>
  <c r="Q29" i="9"/>
  <c r="Q31" i="9"/>
  <c r="G54" i="10" l="1"/>
  <c r="H33" i="10"/>
  <c r="I34" i="10"/>
  <c r="H50" i="10"/>
  <c r="H52" i="10" s="1"/>
  <c r="Q26" i="9"/>
  <c r="W49" i="9"/>
  <c r="S49" i="9"/>
  <c r="J47" i="9"/>
  <c r="J46" i="9" s="1"/>
  <c r="I47" i="9"/>
  <c r="I46" i="9" s="1"/>
  <c r="O46" i="9"/>
  <c r="N46" i="9"/>
  <c r="M46" i="9"/>
  <c r="L46" i="9"/>
  <c r="K46" i="9"/>
  <c r="J45" i="9"/>
  <c r="H45" i="9"/>
  <c r="H44" i="9" s="1"/>
  <c r="G44" i="9"/>
  <c r="O44" i="9"/>
  <c r="N44" i="9"/>
  <c r="M44" i="9"/>
  <c r="L44" i="9"/>
  <c r="I44" i="9"/>
  <c r="Q43" i="9"/>
  <c r="U43" i="9" s="1"/>
  <c r="O42" i="9"/>
  <c r="N42" i="9"/>
  <c r="M42" i="9"/>
  <c r="L42" i="9"/>
  <c r="K42" i="9"/>
  <c r="J42" i="9"/>
  <c r="I42" i="9"/>
  <c r="H42" i="9"/>
  <c r="G42" i="9"/>
  <c r="J40" i="9"/>
  <c r="O40" i="9"/>
  <c r="N40" i="9"/>
  <c r="M40" i="9"/>
  <c r="L40" i="9"/>
  <c r="K40" i="9"/>
  <c r="I40" i="9"/>
  <c r="H40" i="9"/>
  <c r="G40" i="9"/>
  <c r="Q39" i="9"/>
  <c r="U39" i="9" s="1"/>
  <c r="P38" i="9"/>
  <c r="O38" i="9"/>
  <c r="N38" i="9"/>
  <c r="M38" i="9"/>
  <c r="L38" i="9"/>
  <c r="K38" i="9"/>
  <c r="J38" i="9"/>
  <c r="I38" i="9"/>
  <c r="H38" i="9"/>
  <c r="G38" i="9"/>
  <c r="G36" i="9"/>
  <c r="O36" i="9"/>
  <c r="N36" i="9"/>
  <c r="M36" i="9"/>
  <c r="L36" i="9"/>
  <c r="K36" i="9"/>
  <c r="J36" i="9"/>
  <c r="I36" i="9"/>
  <c r="H36" i="9"/>
  <c r="Q35" i="9"/>
  <c r="U35" i="9" s="1"/>
  <c r="O34" i="9"/>
  <c r="N34" i="9"/>
  <c r="M34" i="9"/>
  <c r="L34" i="9"/>
  <c r="K34" i="9"/>
  <c r="J34" i="9"/>
  <c r="I34" i="9"/>
  <c r="H34" i="9"/>
  <c r="G34" i="9"/>
  <c r="U31" i="9"/>
  <c r="O30" i="9"/>
  <c r="N30" i="9"/>
  <c r="M30" i="9"/>
  <c r="L30" i="9"/>
  <c r="K30" i="9"/>
  <c r="J30" i="9"/>
  <c r="H30" i="9"/>
  <c r="G30" i="9"/>
  <c r="O28" i="9"/>
  <c r="N28" i="9"/>
  <c r="M28" i="9"/>
  <c r="L28" i="9"/>
  <c r="K28" i="9"/>
  <c r="J28" i="9"/>
  <c r="I28" i="9"/>
  <c r="H28" i="9"/>
  <c r="G28" i="9"/>
  <c r="O26" i="9"/>
  <c r="N26" i="9"/>
  <c r="M26" i="9"/>
  <c r="L26" i="9"/>
  <c r="K26" i="9"/>
  <c r="J26" i="9"/>
  <c r="I26" i="9"/>
  <c r="H26" i="9"/>
  <c r="G26" i="9"/>
  <c r="U25" i="9"/>
  <c r="O24" i="9"/>
  <c r="N24" i="9"/>
  <c r="M24" i="9"/>
  <c r="L24" i="9"/>
  <c r="K24" i="9"/>
  <c r="J24" i="9"/>
  <c r="I24" i="9"/>
  <c r="H24" i="9"/>
  <c r="O22" i="9"/>
  <c r="O20" i="9" s="1"/>
  <c r="N22" i="9"/>
  <c r="N20" i="9" s="1"/>
  <c r="M22" i="9"/>
  <c r="M20" i="9" s="1"/>
  <c r="L22" i="9"/>
  <c r="L20" i="9" s="1"/>
  <c r="K22" i="9"/>
  <c r="K20" i="9" s="1"/>
  <c r="J22" i="9"/>
  <c r="J20" i="9" s="1"/>
  <c r="I22" i="9"/>
  <c r="I20" i="9" s="1"/>
  <c r="H22" i="9"/>
  <c r="H20" i="9" s="1"/>
  <c r="G22" i="9"/>
  <c r="G20" i="9" s="1"/>
  <c r="F22" i="9"/>
  <c r="E22" i="9"/>
  <c r="Q21" i="9"/>
  <c r="Q28" i="9" s="1"/>
  <c r="O19" i="9"/>
  <c r="O18" i="9" s="1"/>
  <c r="N19" i="9"/>
  <c r="N18" i="9" s="1"/>
  <c r="M19" i="9"/>
  <c r="M18" i="9" s="1"/>
  <c r="L19" i="9"/>
  <c r="L18" i="9" s="1"/>
  <c r="K19" i="9"/>
  <c r="K18" i="9" s="1"/>
  <c r="J19" i="9"/>
  <c r="J18" i="9" s="1"/>
  <c r="I19" i="9"/>
  <c r="I18" i="9" s="1"/>
  <c r="H19" i="9"/>
  <c r="H18" i="9" s="1"/>
  <c r="G19" i="9"/>
  <c r="G18" i="9" s="1"/>
  <c r="W13" i="9"/>
  <c r="S13" i="9"/>
  <c r="O13" i="9"/>
  <c r="N13" i="9"/>
  <c r="M13" i="9"/>
  <c r="L13" i="9"/>
  <c r="K13" i="9"/>
  <c r="G13" i="9"/>
  <c r="J11" i="9"/>
  <c r="I11" i="9"/>
  <c r="H11" i="9"/>
  <c r="H13" i="9"/>
  <c r="Q9" i="9"/>
  <c r="U9" i="9" s="1"/>
  <c r="U8" i="9"/>
  <c r="J34" i="10" l="1"/>
  <c r="I33" i="10"/>
  <c r="I50" i="10"/>
  <c r="H54" i="10"/>
  <c r="S51" i="9"/>
  <c r="S53" i="9" s="1"/>
  <c r="E30" i="9"/>
  <c r="D44" i="9"/>
  <c r="I13" i="9"/>
  <c r="U27" i="9"/>
  <c r="J13" i="9"/>
  <c r="F19" i="9"/>
  <c r="F49" i="9" s="1"/>
  <c r="W51" i="9"/>
  <c r="W53" i="9" s="1"/>
  <c r="Q45" i="9"/>
  <c r="U45" i="9" s="1"/>
  <c r="D19" i="9"/>
  <c r="D18" i="9" s="1"/>
  <c r="E40" i="9"/>
  <c r="J44" i="9"/>
  <c r="Q11" i="9"/>
  <c r="U11" i="9" s="1"/>
  <c r="Q37" i="9"/>
  <c r="U37" i="9" s="1"/>
  <c r="Q41" i="9"/>
  <c r="U41" i="9" s="1"/>
  <c r="E19" i="9"/>
  <c r="E18" i="9" s="1"/>
  <c r="D26" i="9"/>
  <c r="U29" i="9"/>
  <c r="E36" i="9"/>
  <c r="E34" i="9"/>
  <c r="E38" i="9"/>
  <c r="E26" i="9"/>
  <c r="E44" i="9"/>
  <c r="F38" i="9"/>
  <c r="Q10" i="9"/>
  <c r="U10" i="9" s="1"/>
  <c r="D32" i="9"/>
  <c r="F42" i="9"/>
  <c r="F46" i="9"/>
  <c r="F24" i="9"/>
  <c r="F26" i="9"/>
  <c r="E28" i="9"/>
  <c r="D30" i="9"/>
  <c r="E32" i="9"/>
  <c r="G46" i="9"/>
  <c r="D42" i="9"/>
  <c r="D46" i="9"/>
  <c r="D13" i="9"/>
  <c r="U21" i="9"/>
  <c r="D24" i="9"/>
  <c r="G49" i="9"/>
  <c r="F40" i="9"/>
  <c r="E42" i="9"/>
  <c r="F44" i="9"/>
  <c r="E46" i="9"/>
  <c r="Q47" i="9"/>
  <c r="E13" i="9"/>
  <c r="E24" i="9"/>
  <c r="D28" i="9"/>
  <c r="F13" i="9"/>
  <c r="E20" i="9"/>
  <c r="G24" i="9"/>
  <c r="F28" i="9"/>
  <c r="F32" i="9"/>
  <c r="D34" i="9"/>
  <c r="D36" i="9"/>
  <c r="H46" i="9"/>
  <c r="F20" i="9"/>
  <c r="F30" i="9"/>
  <c r="F34" i="9"/>
  <c r="F36" i="9"/>
  <c r="D38" i="9"/>
  <c r="D40" i="9"/>
  <c r="Q49" i="9" l="1"/>
  <c r="I52" i="10"/>
  <c r="I54" i="10" s="1"/>
  <c r="K34" i="10"/>
  <c r="J33" i="10"/>
  <c r="J50" i="10"/>
  <c r="J52" i="10" s="1"/>
  <c r="Q24" i="9"/>
  <c r="F18" i="9"/>
  <c r="Q19" i="9"/>
  <c r="U19" i="9" s="1"/>
  <c r="F51" i="9"/>
  <c r="E49" i="9"/>
  <c r="E51" i="9" s="1"/>
  <c r="G51" i="9"/>
  <c r="U47" i="9"/>
  <c r="G32" i="9"/>
  <c r="U7" i="9"/>
  <c r="U13" i="9" s="1"/>
  <c r="Q46" i="9"/>
  <c r="Q42" i="9"/>
  <c r="Q38" i="9"/>
  <c r="Q13" i="9"/>
  <c r="Q40" i="9"/>
  <c r="Q44" i="9"/>
  <c r="Q36" i="9"/>
  <c r="Q34" i="9"/>
  <c r="K33" i="10" l="1"/>
  <c r="K50" i="10"/>
  <c r="K52" i="10" s="1"/>
  <c r="L34" i="10"/>
  <c r="J54" i="10"/>
  <c r="J51" i="10"/>
  <c r="Q18" i="9"/>
  <c r="H32" i="9"/>
  <c r="H49" i="9"/>
  <c r="K54" i="10" l="1"/>
  <c r="L33" i="10"/>
  <c r="L50" i="10"/>
  <c r="L52" i="10" s="1"/>
  <c r="M34" i="10"/>
  <c r="H51" i="9"/>
  <c r="I32" i="9"/>
  <c r="I49" i="9"/>
  <c r="I51" i="9" s="1"/>
  <c r="L54" i="10" l="1"/>
  <c r="M33" i="10"/>
  <c r="M50" i="10"/>
  <c r="M52" i="10" s="1"/>
  <c r="Z34" i="10"/>
  <c r="Q34" i="10"/>
  <c r="J32" i="9"/>
  <c r="J49" i="9"/>
  <c r="M54" i="10" l="1"/>
  <c r="N54" i="10" s="1"/>
  <c r="O54" i="10" s="1"/>
  <c r="U34" i="10"/>
  <c r="Q33" i="10"/>
  <c r="Q31" i="10" s="1"/>
  <c r="Q52" i="10"/>
  <c r="Q56" i="10" s="1"/>
  <c r="J51" i="9"/>
  <c r="K49" i="9"/>
  <c r="K51" i="9" s="1"/>
  <c r="K32" i="9"/>
  <c r="L32" i="9" l="1"/>
  <c r="L49" i="9"/>
  <c r="L51" i="9" s="1"/>
  <c r="M49" i="9" l="1"/>
  <c r="M51" i="9" s="1"/>
  <c r="M32" i="9"/>
  <c r="N32" i="9"/>
  <c r="N49" i="9" l="1"/>
  <c r="N51" i="9" s="1"/>
  <c r="O49" i="9" l="1"/>
  <c r="O51" i="9" s="1"/>
  <c r="O32" i="9"/>
  <c r="I30" i="9"/>
  <c r="U33" i="9" l="1"/>
  <c r="Q32" i="9"/>
  <c r="Q30" i="9" s="1"/>
  <c r="M67" i="7" l="1"/>
  <c r="W53" i="7"/>
  <c r="T53" i="7"/>
  <c r="O51" i="7"/>
  <c r="N51" i="7"/>
  <c r="M51" i="7"/>
  <c r="L51" i="7"/>
  <c r="K51" i="7"/>
  <c r="J51" i="7"/>
  <c r="I51" i="7"/>
  <c r="H51" i="7"/>
  <c r="G51" i="7"/>
  <c r="W50" i="7"/>
  <c r="S50" i="7"/>
  <c r="O49" i="7"/>
  <c r="N49" i="7"/>
  <c r="M49" i="7"/>
  <c r="L49" i="7"/>
  <c r="K49" i="7"/>
  <c r="J49" i="7"/>
  <c r="I49" i="7"/>
  <c r="H49" i="7"/>
  <c r="G49" i="7"/>
  <c r="F49" i="7"/>
  <c r="E49" i="7"/>
  <c r="D49" i="7"/>
  <c r="W48" i="7"/>
  <c r="S48" i="7"/>
  <c r="O47" i="7"/>
  <c r="N47" i="7"/>
  <c r="M47" i="7"/>
  <c r="L47" i="7"/>
  <c r="K47" i="7"/>
  <c r="J47" i="7"/>
  <c r="I47" i="7"/>
  <c r="H47" i="7"/>
  <c r="G47" i="7"/>
  <c r="F47" i="7"/>
  <c r="E47" i="7"/>
  <c r="D47" i="7"/>
  <c r="W46" i="7"/>
  <c r="S46" i="7"/>
  <c r="O45" i="7"/>
  <c r="N45" i="7"/>
  <c r="M45" i="7"/>
  <c r="L45" i="7"/>
  <c r="K45" i="7"/>
  <c r="J45" i="7"/>
  <c r="I45" i="7"/>
  <c r="H45" i="7"/>
  <c r="G45" i="7"/>
  <c r="F45" i="7"/>
  <c r="E45" i="7"/>
  <c r="D45" i="7"/>
  <c r="W44" i="7"/>
  <c r="S44" i="7"/>
  <c r="S43" i="7"/>
  <c r="S53" i="7" s="1"/>
  <c r="O43" i="7"/>
  <c r="N43" i="7"/>
  <c r="M43" i="7"/>
  <c r="L43" i="7"/>
  <c r="K43" i="7"/>
  <c r="J43" i="7"/>
  <c r="I43" i="7"/>
  <c r="H43" i="7"/>
  <c r="G43" i="7"/>
  <c r="F43" i="7"/>
  <c r="E43" i="7"/>
  <c r="D43" i="7"/>
  <c r="W42" i="7"/>
  <c r="P42" i="7"/>
  <c r="O41" i="7"/>
  <c r="N41" i="7"/>
  <c r="M41" i="7"/>
  <c r="L41" i="7"/>
  <c r="K41" i="7"/>
  <c r="J41" i="7"/>
  <c r="I41" i="7"/>
  <c r="H41" i="7"/>
  <c r="G41" i="7"/>
  <c r="F41" i="7"/>
  <c r="E41" i="7"/>
  <c r="D41" i="7"/>
  <c r="W40" i="7"/>
  <c r="S40" i="7"/>
  <c r="O39" i="7"/>
  <c r="N39" i="7"/>
  <c r="M39" i="7"/>
  <c r="L39" i="7"/>
  <c r="K39" i="7"/>
  <c r="J39" i="7"/>
  <c r="I39" i="7"/>
  <c r="H39" i="7"/>
  <c r="G39" i="7"/>
  <c r="F39" i="7"/>
  <c r="E39" i="7"/>
  <c r="D39" i="7"/>
  <c r="W38" i="7"/>
  <c r="S38" i="7"/>
  <c r="O37" i="7"/>
  <c r="N37" i="7"/>
  <c r="M37" i="7"/>
  <c r="L37" i="7"/>
  <c r="K37" i="7"/>
  <c r="J37" i="7"/>
  <c r="I37" i="7"/>
  <c r="H37" i="7"/>
  <c r="G37" i="7"/>
  <c r="F37" i="7"/>
  <c r="E37" i="7"/>
  <c r="D37" i="7"/>
  <c r="W36" i="7"/>
  <c r="S36" i="7"/>
  <c r="O35" i="7"/>
  <c r="N35" i="7"/>
  <c r="M35" i="7"/>
  <c r="L35" i="7"/>
  <c r="K35" i="7"/>
  <c r="J35" i="7"/>
  <c r="I35" i="7"/>
  <c r="H35" i="7"/>
  <c r="G35" i="7"/>
  <c r="F35" i="7"/>
  <c r="E35" i="7"/>
  <c r="D35" i="7"/>
  <c r="W34" i="7"/>
  <c r="S34" i="7"/>
  <c r="O33" i="7"/>
  <c r="N33" i="7"/>
  <c r="M33" i="7"/>
  <c r="L33" i="7"/>
  <c r="K33" i="7"/>
  <c r="J33" i="7"/>
  <c r="I33" i="7"/>
  <c r="H33" i="7"/>
  <c r="G33" i="7"/>
  <c r="F33" i="7"/>
  <c r="E33" i="7"/>
  <c r="D33" i="7"/>
  <c r="W32" i="7"/>
  <c r="S32" i="7"/>
  <c r="O31" i="7"/>
  <c r="N31" i="7"/>
  <c r="M31" i="7"/>
  <c r="L31" i="7"/>
  <c r="K31" i="7"/>
  <c r="J31" i="7"/>
  <c r="I31" i="7"/>
  <c r="H31" i="7"/>
  <c r="G31" i="7"/>
  <c r="F31" i="7"/>
  <c r="E31" i="7"/>
  <c r="D31" i="7"/>
  <c r="W30" i="7"/>
  <c r="S30" i="7"/>
  <c r="O29" i="7"/>
  <c r="N29" i="7"/>
  <c r="M29" i="7"/>
  <c r="L29" i="7"/>
  <c r="K29" i="7"/>
  <c r="J29" i="7"/>
  <c r="I29" i="7"/>
  <c r="H29" i="7"/>
  <c r="G29" i="7"/>
  <c r="F29" i="7"/>
  <c r="E29" i="7"/>
  <c r="D29" i="7"/>
  <c r="W28" i="7"/>
  <c r="S28" i="7"/>
  <c r="O27" i="7"/>
  <c r="N27" i="7"/>
  <c r="M27" i="7"/>
  <c r="L27" i="7"/>
  <c r="K27" i="7"/>
  <c r="J27" i="7"/>
  <c r="I27" i="7"/>
  <c r="H27" i="7"/>
  <c r="G27" i="7"/>
  <c r="F27" i="7"/>
  <c r="E27" i="7"/>
  <c r="D27" i="7"/>
  <c r="W26" i="7"/>
  <c r="S26" i="7"/>
  <c r="O25" i="7"/>
  <c r="N25" i="7"/>
  <c r="M25" i="7"/>
  <c r="L25" i="7"/>
  <c r="K25" i="7"/>
  <c r="J25" i="7"/>
  <c r="I25" i="7"/>
  <c r="H25" i="7"/>
  <c r="G25" i="7"/>
  <c r="F25" i="7"/>
  <c r="E25" i="7"/>
  <c r="D25" i="7"/>
  <c r="W24" i="7"/>
  <c r="W22" i="7" s="1"/>
  <c r="S24" i="7"/>
  <c r="S22" i="7" s="1"/>
  <c r="O23" i="7"/>
  <c r="N23" i="7"/>
  <c r="M23" i="7"/>
  <c r="L23" i="7"/>
  <c r="K23" i="7"/>
  <c r="J23" i="7"/>
  <c r="I23" i="7"/>
  <c r="H23" i="7"/>
  <c r="G23" i="7"/>
  <c r="F23" i="7"/>
  <c r="E23" i="7"/>
  <c r="D23" i="7"/>
  <c r="O21" i="7"/>
  <c r="N21" i="7"/>
  <c r="M21" i="7"/>
  <c r="L21" i="7"/>
  <c r="K21" i="7"/>
  <c r="J21" i="7"/>
  <c r="I21" i="7"/>
  <c r="H21" i="7"/>
  <c r="G21" i="7"/>
  <c r="F21" i="7"/>
  <c r="E21" i="7"/>
  <c r="D21" i="7"/>
  <c r="W20" i="7"/>
  <c r="S20" i="7"/>
  <c r="U17" i="7"/>
  <c r="Q17" i="7"/>
  <c r="R17" i="7" s="1"/>
  <c r="Q15" i="7"/>
  <c r="W13" i="7"/>
  <c r="S13" i="7"/>
  <c r="O11" i="7"/>
  <c r="N11" i="7"/>
  <c r="M11" i="7"/>
  <c r="L11" i="7"/>
  <c r="K11" i="7"/>
  <c r="J11" i="7"/>
  <c r="I11" i="7"/>
  <c r="H11" i="7"/>
  <c r="G11" i="7"/>
  <c r="O10" i="7"/>
  <c r="N10" i="7"/>
  <c r="M10" i="7"/>
  <c r="L10" i="7"/>
  <c r="K10" i="7"/>
  <c r="J10" i="7"/>
  <c r="I10" i="7"/>
  <c r="H10" i="7"/>
  <c r="G10" i="7"/>
  <c r="Q9" i="7"/>
  <c r="U9" i="7" s="1"/>
  <c r="O8" i="7"/>
  <c r="N8" i="7"/>
  <c r="M8" i="7"/>
  <c r="L8" i="7"/>
  <c r="K8" i="7"/>
  <c r="J8" i="7"/>
  <c r="I8" i="7"/>
  <c r="H8" i="7"/>
  <c r="G8" i="7"/>
  <c r="F8" i="7"/>
  <c r="E8" i="7"/>
  <c r="D8" i="7"/>
  <c r="O7" i="7"/>
  <c r="N7" i="7"/>
  <c r="M7" i="7"/>
  <c r="L7" i="7"/>
  <c r="K7" i="7"/>
  <c r="J7" i="7"/>
  <c r="I7" i="7"/>
  <c r="H7" i="7"/>
  <c r="G7" i="7"/>
  <c r="F7" i="7"/>
  <c r="E7" i="7"/>
  <c r="E28" i="7" s="1"/>
  <c r="D7" i="7"/>
  <c r="D36" i="7" s="1"/>
  <c r="L3" i="7"/>
  <c r="B2" i="7"/>
  <c r="C18" i="7" s="1"/>
  <c r="E24" i="7" l="1"/>
  <c r="M36" i="7"/>
  <c r="N24" i="7"/>
  <c r="F24" i="7"/>
  <c r="H34" i="7"/>
  <c r="M24" i="7"/>
  <c r="M22" i="7" s="1"/>
  <c r="J24" i="7"/>
  <c r="I44" i="7"/>
  <c r="L46" i="7"/>
  <c r="I50" i="7"/>
  <c r="H40" i="7"/>
  <c r="K36" i="7"/>
  <c r="O38" i="7"/>
  <c r="G24" i="7"/>
  <c r="G22" i="7" s="1"/>
  <c r="I40" i="7"/>
  <c r="G13" i="7"/>
  <c r="S55" i="7"/>
  <c r="S42" i="7"/>
  <c r="O24" i="7"/>
  <c r="K46" i="7"/>
  <c r="E48" i="7"/>
  <c r="R15" i="7"/>
  <c r="K42" i="7"/>
  <c r="H24" i="7"/>
  <c r="H22" i="7" s="1"/>
  <c r="H32" i="7"/>
  <c r="J46" i="7"/>
  <c r="F13" i="7"/>
  <c r="N38" i="7"/>
  <c r="D24" i="7"/>
  <c r="L24" i="7"/>
  <c r="L22" i="7" s="1"/>
  <c r="K24" i="7"/>
  <c r="K22" i="7" s="1"/>
  <c r="Q11" i="7"/>
  <c r="U11" i="7" s="1"/>
  <c r="H30" i="7"/>
  <c r="I32" i="7"/>
  <c r="K34" i="7"/>
  <c r="I34" i="7"/>
  <c r="Q43" i="7"/>
  <c r="U43" i="7" s="1"/>
  <c r="Q51" i="7"/>
  <c r="U51" i="7" s="1"/>
  <c r="J50" i="7"/>
  <c r="J42" i="7"/>
  <c r="M53" i="7"/>
  <c r="J34" i="7"/>
  <c r="I13" i="7"/>
  <c r="I30" i="7"/>
  <c r="J32" i="7"/>
  <c r="L53" i="7"/>
  <c r="Q21" i="7"/>
  <c r="R21" i="7" s="1"/>
  <c r="Q31" i="7"/>
  <c r="R31" i="7" s="1"/>
  <c r="H44" i="7"/>
  <c r="H13" i="7"/>
  <c r="J26" i="7"/>
  <c r="D28" i="7"/>
  <c r="Q39" i="7"/>
  <c r="U39" i="7" s="1"/>
  <c r="N53" i="7"/>
  <c r="G53" i="7"/>
  <c r="O53" i="7"/>
  <c r="J44" i="7"/>
  <c r="Q10" i="7"/>
  <c r="U10" i="7" s="1"/>
  <c r="Q29" i="7"/>
  <c r="U29" i="7" s="1"/>
  <c r="F38" i="7"/>
  <c r="K20" i="7"/>
  <c r="I46" i="7"/>
  <c r="E36" i="7"/>
  <c r="M20" i="7"/>
  <c r="I24" i="7"/>
  <c r="I22" i="7" s="1"/>
  <c r="K26" i="7"/>
  <c r="I26" i="7"/>
  <c r="E53" i="7"/>
  <c r="Q41" i="7"/>
  <c r="U41" i="7" s="1"/>
  <c r="I42" i="7"/>
  <c r="H50" i="7"/>
  <c r="W55" i="7"/>
  <c r="W58" i="7" s="1"/>
  <c r="C14" i="7"/>
  <c r="N20" i="7"/>
  <c r="G48" i="7"/>
  <c r="G38" i="7"/>
  <c r="F22" i="7"/>
  <c r="K44" i="7"/>
  <c r="K53" i="7"/>
  <c r="K63" i="7"/>
  <c r="S62" i="7"/>
  <c r="D48" i="7"/>
  <c r="D38" i="7"/>
  <c r="D20" i="7"/>
  <c r="D13" i="7"/>
  <c r="J63" i="7"/>
  <c r="D30" i="7"/>
  <c r="D22" i="7"/>
  <c r="I63" i="7"/>
  <c r="D40" i="7"/>
  <c r="G63" i="7"/>
  <c r="F63" i="7"/>
  <c r="D34" i="7"/>
  <c r="H63" i="7"/>
  <c r="D50" i="7"/>
  <c r="D32" i="7"/>
  <c r="Q7" i="7"/>
  <c r="O63" i="7"/>
  <c r="D44" i="7"/>
  <c r="D42" i="7"/>
  <c r="N63" i="7"/>
  <c r="D26" i="7"/>
  <c r="N13" i="7"/>
  <c r="H53" i="7"/>
  <c r="E30" i="7"/>
  <c r="E22" i="7"/>
  <c r="E13" i="7"/>
  <c r="E40" i="7"/>
  <c r="E50" i="7"/>
  <c r="E32" i="7"/>
  <c r="E26" i="7"/>
  <c r="E46" i="7"/>
  <c r="E44" i="7"/>
  <c r="E42" i="7"/>
  <c r="E34" i="7"/>
  <c r="O13" i="7"/>
  <c r="Q23" i="7"/>
  <c r="F53" i="7"/>
  <c r="N40" i="7"/>
  <c r="N50" i="7"/>
  <c r="N32" i="7"/>
  <c r="N44" i="7"/>
  <c r="N42" i="7"/>
  <c r="N36" i="7"/>
  <c r="N28" i="7"/>
  <c r="N34" i="7"/>
  <c r="N26" i="7"/>
  <c r="N46" i="7"/>
  <c r="E20" i="7"/>
  <c r="N22" i="7"/>
  <c r="M28" i="7"/>
  <c r="G30" i="7"/>
  <c r="D53" i="7"/>
  <c r="Q47" i="7"/>
  <c r="J53" i="7"/>
  <c r="E63" i="7"/>
  <c r="O20" i="7"/>
  <c r="F48" i="7"/>
  <c r="L38" i="7"/>
  <c r="L20" i="7"/>
  <c r="L13" i="7"/>
  <c r="L48" i="7"/>
  <c r="L30" i="7"/>
  <c r="L26" i="7"/>
  <c r="L40" i="7"/>
  <c r="L44" i="7"/>
  <c r="L42" i="7"/>
  <c r="L50" i="7"/>
  <c r="L32" i="7"/>
  <c r="L34" i="7"/>
  <c r="Q45" i="7"/>
  <c r="N48" i="7"/>
  <c r="Q49" i="7"/>
  <c r="M48" i="7"/>
  <c r="M30" i="7"/>
  <c r="M13" i="7"/>
  <c r="M46" i="7"/>
  <c r="M40" i="7"/>
  <c r="M50" i="7"/>
  <c r="M32" i="7"/>
  <c r="M34" i="7"/>
  <c r="M44" i="7"/>
  <c r="M42" i="7"/>
  <c r="M26" i="7"/>
  <c r="Q25" i="7"/>
  <c r="L28" i="7"/>
  <c r="F30" i="7"/>
  <c r="Q33" i="7"/>
  <c r="L36" i="7"/>
  <c r="E38" i="7"/>
  <c r="O48" i="7"/>
  <c r="I53" i="7"/>
  <c r="D63" i="7"/>
  <c r="F40" i="7"/>
  <c r="F50" i="7"/>
  <c r="F32" i="7"/>
  <c r="F44" i="7"/>
  <c r="F42" i="7"/>
  <c r="F46" i="7"/>
  <c r="F34" i="7"/>
  <c r="F26" i="7"/>
  <c r="F36" i="7"/>
  <c r="F28" i="7"/>
  <c r="G50" i="7"/>
  <c r="O50" i="7"/>
  <c r="F20" i="7"/>
  <c r="O22" i="7"/>
  <c r="Q27" i="7"/>
  <c r="N30" i="7"/>
  <c r="Q35" i="7"/>
  <c r="M38" i="7"/>
  <c r="G40" i="7"/>
  <c r="L63" i="7"/>
  <c r="O30" i="7"/>
  <c r="M63" i="7"/>
  <c r="G20" i="7"/>
  <c r="Q8" i="7"/>
  <c r="Q37" i="7"/>
  <c r="O40" i="7"/>
  <c r="D46" i="7"/>
  <c r="O28" i="7"/>
  <c r="G36" i="7"/>
  <c r="H38" i="7"/>
  <c r="J40" i="7"/>
  <c r="J13" i="7"/>
  <c r="I20" i="7"/>
  <c r="J22" i="7"/>
  <c r="H28" i="7"/>
  <c r="J30" i="7"/>
  <c r="H36" i="7"/>
  <c r="I38" i="7"/>
  <c r="K40" i="7"/>
  <c r="G46" i="7"/>
  <c r="O46" i="7"/>
  <c r="I48" i="7"/>
  <c r="H20" i="7"/>
  <c r="G28" i="7"/>
  <c r="K32" i="7"/>
  <c r="O36" i="7"/>
  <c r="H48" i="7"/>
  <c r="K50" i="7"/>
  <c r="K13" i="7"/>
  <c r="J20" i="7"/>
  <c r="G26" i="7"/>
  <c r="O26" i="7"/>
  <c r="I28" i="7"/>
  <c r="K30" i="7"/>
  <c r="G34" i="7"/>
  <c r="O34" i="7"/>
  <c r="I36" i="7"/>
  <c r="J38" i="7"/>
  <c r="H46" i="7"/>
  <c r="J48" i="7"/>
  <c r="H26" i="7"/>
  <c r="J28" i="7"/>
  <c r="J36" i="7"/>
  <c r="K38" i="7"/>
  <c r="G42" i="7"/>
  <c r="O42" i="7"/>
  <c r="G44" i="7"/>
  <c r="O44" i="7"/>
  <c r="K28" i="7"/>
  <c r="G32" i="7"/>
  <c r="O32" i="7"/>
  <c r="H42" i="7"/>
  <c r="I55" i="7" l="1"/>
  <c r="O55" i="7"/>
  <c r="F55" i="7"/>
  <c r="G55" i="7"/>
  <c r="U31" i="7"/>
  <c r="Z13" i="7"/>
  <c r="M55" i="7"/>
  <c r="N55" i="7"/>
  <c r="U21" i="7"/>
  <c r="E55" i="7"/>
  <c r="Z53" i="7"/>
  <c r="L55" i="7"/>
  <c r="J54" i="7"/>
  <c r="R29" i="7"/>
  <c r="R51" i="7"/>
  <c r="R43" i="7"/>
  <c r="J55" i="7"/>
  <c r="R39" i="7"/>
  <c r="R41" i="7"/>
  <c r="R45" i="7"/>
  <c r="U45" i="7"/>
  <c r="R25" i="7"/>
  <c r="U25" i="7"/>
  <c r="Q61" i="7"/>
  <c r="U23" i="7"/>
  <c r="R23" i="7"/>
  <c r="Q60" i="7"/>
  <c r="Q24" i="7"/>
  <c r="Q22" i="7" s="1"/>
  <c r="H55" i="7"/>
  <c r="Y36" i="7"/>
  <c r="U35" i="7"/>
  <c r="R35" i="7"/>
  <c r="U27" i="7"/>
  <c r="R27" i="7"/>
  <c r="M68" i="7"/>
  <c r="I62" i="7"/>
  <c r="L62" i="7"/>
  <c r="H62" i="7"/>
  <c r="O62" i="7"/>
  <c r="G62" i="7"/>
  <c r="M62" i="7"/>
  <c r="D55" i="7"/>
  <c r="E57" i="7" s="1"/>
  <c r="N62" i="7"/>
  <c r="F62" i="7"/>
  <c r="E62" i="7"/>
  <c r="D62" i="7"/>
  <c r="K62" i="7"/>
  <c r="J62" i="7"/>
  <c r="K55" i="7"/>
  <c r="U37" i="7"/>
  <c r="R37" i="7"/>
  <c r="U47" i="7"/>
  <c r="R47" i="7"/>
  <c r="U8" i="7"/>
  <c r="R8" i="7"/>
  <c r="U49" i="7"/>
  <c r="R49" i="7"/>
  <c r="Q53" i="7"/>
  <c r="R33" i="7"/>
  <c r="U33" i="7"/>
  <c r="Q44" i="7"/>
  <c r="Q34" i="7"/>
  <c r="Q26" i="7"/>
  <c r="U7" i="7"/>
  <c r="Q30" i="7"/>
  <c r="Q46" i="7"/>
  <c r="Y21" i="7"/>
  <c r="R7" i="7"/>
  <c r="Q38" i="7"/>
  <c r="Q48" i="7"/>
  <c r="Q36" i="7"/>
  <c r="Q28" i="7"/>
  <c r="Q20" i="7"/>
  <c r="Q32" i="7"/>
  <c r="Q50" i="7"/>
  <c r="Q42" i="7"/>
  <c r="Q13" i="7"/>
  <c r="Q40" i="7"/>
  <c r="F57" i="7" l="1"/>
  <c r="G57" i="7" s="1"/>
  <c r="H57" i="7" s="1"/>
  <c r="I57" i="7" s="1"/>
  <c r="J57" i="7" s="1"/>
  <c r="K57" i="7" s="1"/>
  <c r="L57" i="7" s="1"/>
  <c r="M57" i="7" s="1"/>
  <c r="N57" i="7" s="1"/>
  <c r="O57" i="7" s="1"/>
  <c r="U13" i="7"/>
  <c r="Q62" i="7"/>
  <c r="U53" i="7"/>
  <c r="Q64" i="7"/>
  <c r="Q65" i="7" s="1"/>
  <c r="R53" i="7"/>
  <c r="Q55" i="7"/>
  <c r="Q58" i="7" s="1"/>
  <c r="R13" i="7"/>
  <c r="U55" i="7" l="1"/>
  <c r="F37" i="2"/>
  <c r="G37" i="2"/>
  <c r="H37" i="2"/>
  <c r="I37" i="2"/>
  <c r="J37" i="2"/>
  <c r="K37" i="2"/>
  <c r="L37" i="2"/>
  <c r="M37" i="2"/>
  <c r="N37" i="2"/>
  <c r="E37" i="2"/>
  <c r="P20" i="2" l="1"/>
  <c r="P15" i="2"/>
  <c r="V55" i="2" l="1"/>
  <c r="S55" i="2"/>
  <c r="R55" i="2"/>
  <c r="K55" i="2"/>
  <c r="J55" i="2"/>
  <c r="I55" i="2"/>
  <c r="H55" i="2"/>
  <c r="G55" i="2"/>
  <c r="F55" i="2"/>
  <c r="E55" i="2"/>
  <c r="D53" i="2"/>
  <c r="C53" i="2"/>
  <c r="P53" i="2" s="1"/>
  <c r="T53" i="2" s="1"/>
  <c r="R52" i="2"/>
  <c r="N52" i="2"/>
  <c r="M52" i="2"/>
  <c r="L52" i="2"/>
  <c r="K52" i="2"/>
  <c r="J52" i="2"/>
  <c r="I52" i="2"/>
  <c r="H52" i="2"/>
  <c r="G52" i="2"/>
  <c r="F52" i="2"/>
  <c r="E52" i="2"/>
  <c r="D51" i="2"/>
  <c r="C51" i="2"/>
  <c r="P51" i="2" s="1"/>
  <c r="R50" i="2"/>
  <c r="N50" i="2"/>
  <c r="M50" i="2"/>
  <c r="L50" i="2"/>
  <c r="K50" i="2"/>
  <c r="I50" i="2"/>
  <c r="H50" i="2"/>
  <c r="G50" i="2"/>
  <c r="F50" i="2"/>
  <c r="E50" i="2"/>
  <c r="D49" i="2"/>
  <c r="C49" i="2"/>
  <c r="P49" i="2" s="1"/>
  <c r="T49" i="2" s="1"/>
  <c r="R48" i="2"/>
  <c r="N48" i="2"/>
  <c r="M48" i="2"/>
  <c r="L48" i="2"/>
  <c r="K48" i="2"/>
  <c r="J48" i="2"/>
  <c r="I48" i="2"/>
  <c r="H48" i="2"/>
  <c r="G48" i="2"/>
  <c r="F48" i="2"/>
  <c r="E48" i="2"/>
  <c r="P47" i="2"/>
  <c r="T47" i="2" s="1"/>
  <c r="D47" i="2"/>
  <c r="C47" i="2"/>
  <c r="R46" i="2"/>
  <c r="N46" i="2"/>
  <c r="M46" i="2"/>
  <c r="L46" i="2"/>
  <c r="K46" i="2"/>
  <c r="J46" i="2"/>
  <c r="I46" i="2"/>
  <c r="H46" i="2"/>
  <c r="G46" i="2"/>
  <c r="F46" i="2"/>
  <c r="E46" i="2"/>
  <c r="P45" i="2"/>
  <c r="T45" i="2" s="1"/>
  <c r="R44" i="2"/>
  <c r="O44" i="2"/>
  <c r="N44" i="2"/>
  <c r="M44" i="2"/>
  <c r="L44" i="2"/>
  <c r="K44" i="2"/>
  <c r="J44" i="2"/>
  <c r="I44" i="2"/>
  <c r="H44" i="2"/>
  <c r="G44" i="2"/>
  <c r="F44" i="2"/>
  <c r="E44" i="2"/>
  <c r="D43" i="2"/>
  <c r="C43" i="2"/>
  <c r="P43" i="2" s="1"/>
  <c r="T43" i="2" s="1"/>
  <c r="R42" i="2"/>
  <c r="N42" i="2"/>
  <c r="M42" i="2"/>
  <c r="L42" i="2"/>
  <c r="K42" i="2"/>
  <c r="J42" i="2"/>
  <c r="H42" i="2"/>
  <c r="G42" i="2"/>
  <c r="F42" i="2"/>
  <c r="E42" i="2"/>
  <c r="D41" i="2"/>
  <c r="C41" i="2"/>
  <c r="P41" i="2" s="1"/>
  <c r="T41" i="2" s="1"/>
  <c r="R40" i="2"/>
  <c r="N40" i="2"/>
  <c r="M40" i="2"/>
  <c r="L40" i="2"/>
  <c r="K40" i="2"/>
  <c r="J40" i="2"/>
  <c r="I40" i="2"/>
  <c r="H40" i="2"/>
  <c r="G40" i="2"/>
  <c r="F40" i="2"/>
  <c r="E40" i="2"/>
  <c r="D39" i="2"/>
  <c r="C39" i="2"/>
  <c r="P39" i="2" s="1"/>
  <c r="T39" i="2" s="1"/>
  <c r="R38" i="2"/>
  <c r="N38" i="2"/>
  <c r="M38" i="2"/>
  <c r="L38" i="2"/>
  <c r="K38" i="2"/>
  <c r="J38" i="2"/>
  <c r="I38" i="2"/>
  <c r="H38" i="2"/>
  <c r="G38" i="2"/>
  <c r="F38" i="2"/>
  <c r="E38" i="2"/>
  <c r="D37" i="2"/>
  <c r="C37" i="2"/>
  <c r="P37" i="2" s="1"/>
  <c r="R36" i="2"/>
  <c r="N36" i="2"/>
  <c r="M36" i="2"/>
  <c r="L36" i="2"/>
  <c r="K36" i="2"/>
  <c r="J36" i="2"/>
  <c r="I36" i="2"/>
  <c r="H36" i="2"/>
  <c r="G36" i="2"/>
  <c r="F36" i="2"/>
  <c r="E36" i="2"/>
  <c r="D35" i="2"/>
  <c r="C35" i="2"/>
  <c r="P35" i="2" s="1"/>
  <c r="T35" i="2" s="1"/>
  <c r="V34" i="2"/>
  <c r="R34" i="2"/>
  <c r="N34" i="2"/>
  <c r="M34" i="2"/>
  <c r="L34" i="2"/>
  <c r="K34" i="2"/>
  <c r="J34" i="2"/>
  <c r="I34" i="2"/>
  <c r="H34" i="2"/>
  <c r="G34" i="2"/>
  <c r="F34" i="2"/>
  <c r="E34" i="2"/>
  <c r="D33" i="2"/>
  <c r="C33" i="2"/>
  <c r="P33" i="2" s="1"/>
  <c r="T33" i="2" s="1"/>
  <c r="R32" i="2"/>
  <c r="N32" i="2"/>
  <c r="M32" i="2"/>
  <c r="L32" i="2"/>
  <c r="K32" i="2"/>
  <c r="J32" i="2"/>
  <c r="I32" i="2"/>
  <c r="H32" i="2"/>
  <c r="G32" i="2"/>
  <c r="F32" i="2"/>
  <c r="E32" i="2"/>
  <c r="D31" i="2"/>
  <c r="C31" i="2"/>
  <c r="P31" i="2" s="1"/>
  <c r="R30" i="2"/>
  <c r="N30" i="2"/>
  <c r="M30" i="2"/>
  <c r="L30" i="2"/>
  <c r="K30" i="2"/>
  <c r="J30" i="2"/>
  <c r="I30" i="2"/>
  <c r="H30" i="2"/>
  <c r="G30" i="2"/>
  <c r="F30" i="2"/>
  <c r="E30" i="2"/>
  <c r="D30" i="2"/>
  <c r="C30" i="2"/>
  <c r="D29" i="2"/>
  <c r="C29" i="2"/>
  <c r="P29" i="2" s="1"/>
  <c r="T29" i="2" s="1"/>
  <c r="R28" i="2"/>
  <c r="N28" i="2"/>
  <c r="M28" i="2"/>
  <c r="L28" i="2"/>
  <c r="K28" i="2"/>
  <c r="J28" i="2"/>
  <c r="I28" i="2"/>
  <c r="H28" i="2"/>
  <c r="G28" i="2"/>
  <c r="F28" i="2"/>
  <c r="E28" i="2"/>
  <c r="D27" i="2"/>
  <c r="C27" i="2"/>
  <c r="P27" i="2" s="1"/>
  <c r="T27" i="2" s="1"/>
  <c r="V26" i="2"/>
  <c r="R26" i="2"/>
  <c r="R24" i="2" s="1"/>
  <c r="N26" i="2"/>
  <c r="M26" i="2"/>
  <c r="L26" i="2"/>
  <c r="L24" i="2" s="1"/>
  <c r="K26" i="2"/>
  <c r="K24" i="2" s="1"/>
  <c r="J26" i="2"/>
  <c r="J24" i="2" s="1"/>
  <c r="I26" i="2"/>
  <c r="I24" i="2" s="1"/>
  <c r="H26" i="2"/>
  <c r="H24" i="2" s="1"/>
  <c r="G26" i="2"/>
  <c r="G24" i="2" s="1"/>
  <c r="F26" i="2"/>
  <c r="F24" i="2" s="1"/>
  <c r="E26" i="2"/>
  <c r="E24" i="2" s="1"/>
  <c r="D25" i="2"/>
  <c r="D26" i="2" s="1"/>
  <c r="C25" i="2"/>
  <c r="C26" i="2" s="1"/>
  <c r="N24" i="2"/>
  <c r="M24" i="2"/>
  <c r="D23" i="2"/>
  <c r="C23" i="2"/>
  <c r="R22" i="2"/>
  <c r="N22" i="2"/>
  <c r="M22" i="2"/>
  <c r="K22" i="2"/>
  <c r="J22" i="2"/>
  <c r="I22" i="2"/>
  <c r="H22" i="2"/>
  <c r="G22" i="2"/>
  <c r="F22" i="2"/>
  <c r="E22" i="2"/>
  <c r="P19" i="2"/>
  <c r="T19" i="2" s="1"/>
  <c r="R17" i="2"/>
  <c r="J16" i="2"/>
  <c r="G16" i="2"/>
  <c r="R14" i="2"/>
  <c r="N14" i="2"/>
  <c r="N16" i="2" s="1"/>
  <c r="M14" i="2"/>
  <c r="M16" i="2" s="1"/>
  <c r="L14" i="2"/>
  <c r="L16" i="2" s="1"/>
  <c r="K14" i="2"/>
  <c r="K16" i="2" s="1"/>
  <c r="J14" i="2"/>
  <c r="I14" i="2"/>
  <c r="H14" i="2"/>
  <c r="H57" i="2" s="1"/>
  <c r="G14" i="2"/>
  <c r="F14" i="2"/>
  <c r="F16" i="2" s="1"/>
  <c r="E14" i="2"/>
  <c r="E16" i="2" s="1"/>
  <c r="V12" i="2"/>
  <c r="T12" i="2"/>
  <c r="P12" i="2"/>
  <c r="P11" i="2"/>
  <c r="T11" i="2" s="1"/>
  <c r="P10" i="2"/>
  <c r="T10" i="2" s="1"/>
  <c r="P9" i="2"/>
  <c r="T9" i="2" s="1"/>
  <c r="D8" i="2"/>
  <c r="D50" i="2" s="1"/>
  <c r="C8" i="2"/>
  <c r="C32" i="2" s="1"/>
  <c r="V7" i="2"/>
  <c r="V52" i="2" s="1"/>
  <c r="P7" i="2"/>
  <c r="T7" i="2" s="1"/>
  <c r="V48" i="2" l="1"/>
  <c r="V50" i="2"/>
  <c r="V24" i="2"/>
  <c r="V22" i="2"/>
  <c r="R57" i="2"/>
  <c r="V42" i="2"/>
  <c r="E57" i="2"/>
  <c r="V32" i="2"/>
  <c r="V40" i="2"/>
  <c r="F57" i="2"/>
  <c r="K57" i="2"/>
  <c r="V14" i="2"/>
  <c r="V57" i="2" s="1"/>
  <c r="V60" i="2" s="1"/>
  <c r="V28" i="2"/>
  <c r="V30" i="2"/>
  <c r="V38" i="2"/>
  <c r="V46" i="2"/>
  <c r="D55" i="2"/>
  <c r="I57" i="2"/>
  <c r="G57" i="2"/>
  <c r="V17" i="2"/>
  <c r="V36" i="2"/>
  <c r="V44" i="2"/>
  <c r="J57" i="2"/>
  <c r="D28" i="2"/>
  <c r="C40" i="2"/>
  <c r="D40" i="2"/>
  <c r="D46" i="2"/>
  <c r="C28" i="2"/>
  <c r="T31" i="2"/>
  <c r="P30" i="2"/>
  <c r="C34" i="2"/>
  <c r="D34" i="2"/>
  <c r="P25" i="2"/>
  <c r="C42" i="2"/>
  <c r="D48" i="2"/>
  <c r="C14" i="2"/>
  <c r="D38" i="2"/>
  <c r="D44" i="2"/>
  <c r="C52" i="2"/>
  <c r="D14" i="2"/>
  <c r="D32" i="2"/>
  <c r="C46" i="2"/>
  <c r="D52" i="2"/>
  <c r="C55" i="2"/>
  <c r="P8" i="2"/>
  <c r="D24" i="2"/>
  <c r="C22" i="2"/>
  <c r="C36" i="2"/>
  <c r="D42" i="2"/>
  <c r="C24" i="2"/>
  <c r="C48" i="2"/>
  <c r="D22" i="2"/>
  <c r="D36" i="2"/>
  <c r="C38" i="2"/>
  <c r="C44" i="2"/>
  <c r="C50" i="2"/>
  <c r="T37" i="2"/>
  <c r="T51" i="2"/>
  <c r="P42" i="2" l="1"/>
  <c r="P24" i="2"/>
  <c r="T8" i="2"/>
  <c r="T14" i="2" s="1"/>
  <c r="P52" i="2"/>
  <c r="P14" i="2"/>
  <c r="P34" i="2"/>
  <c r="L23" i="2"/>
  <c r="P44" i="2"/>
  <c r="P32" i="2"/>
  <c r="P23" i="2"/>
  <c r="P40" i="2"/>
  <c r="P28" i="2"/>
  <c r="P46" i="2"/>
  <c r="P22" i="2"/>
  <c r="N23" i="2"/>
  <c r="N55" i="2" s="1"/>
  <c r="N57" i="2" s="1"/>
  <c r="P48" i="2"/>
  <c r="M23" i="2"/>
  <c r="M55" i="2" s="1"/>
  <c r="M57" i="2" s="1"/>
  <c r="P38" i="2"/>
  <c r="P50" i="2"/>
  <c r="C16" i="2"/>
  <c r="P16" i="2" s="1"/>
  <c r="C57" i="2"/>
  <c r="D59" i="2" s="1"/>
  <c r="E59" i="2" s="1"/>
  <c r="F59" i="2" s="1"/>
  <c r="G59" i="2" s="1"/>
  <c r="H59" i="2" s="1"/>
  <c r="I59" i="2" s="1"/>
  <c r="J59" i="2" s="1"/>
  <c r="K59" i="2" s="1"/>
  <c r="P36" i="2"/>
  <c r="P17" i="2"/>
  <c r="T17" i="2" s="1"/>
  <c r="T25" i="2"/>
  <c r="P26" i="2"/>
  <c r="D16" i="2"/>
  <c r="D57" i="2"/>
  <c r="L22" i="2" l="1"/>
  <c r="L55" i="2"/>
  <c r="L57" i="2" s="1"/>
  <c r="L59" i="2" s="1"/>
  <c r="M59" i="2" s="1"/>
  <c r="N59" i="2" s="1"/>
  <c r="T23" i="2"/>
  <c r="T55" i="2" s="1"/>
  <c r="T57" i="2" s="1"/>
  <c r="P55" i="2"/>
  <c r="P57" i="2" s="1"/>
  <c r="P60" i="2" s="1"/>
  <c r="Q23" i="9" l="1"/>
  <c r="Q51" i="9" s="1"/>
  <c r="Q55" i="9" s="1"/>
  <c r="D22" i="9"/>
  <c r="D20" i="9" s="1"/>
  <c r="D49" i="9"/>
  <c r="J50" i="9" s="1"/>
  <c r="U23" i="9" l="1"/>
  <c r="Q22" i="9"/>
  <c r="Q20" i="9" s="1"/>
  <c r="D51" i="9"/>
  <c r="E53" i="9" s="1"/>
  <c r="F53" i="9" l="1"/>
  <c r="G53" i="9" s="1"/>
  <c r="H53" i="9" s="1"/>
  <c r="I53" i="9" s="1"/>
  <c r="J53" i="9" s="1"/>
  <c r="K53" i="9" s="1"/>
  <c r="L53" i="9" s="1"/>
  <c r="M53" i="9" s="1"/>
  <c r="N53" i="9" s="1"/>
  <c r="O53" i="9" s="1"/>
  <c r="K58" i="18" l="1"/>
  <c r="N58" i="18"/>
  <c r="M58" i="18"/>
  <c r="F58" i="18"/>
  <c r="I58" i="18"/>
  <c r="L58" i="18"/>
  <c r="H58" i="18"/>
  <c r="O58" i="18"/>
  <c r="J58" i="18"/>
  <c r="E58" i="18"/>
  <c r="G58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Lili Liu</author>
  </authors>
  <commentList>
    <comment ref="A4" authorId="0" shapeId="0" xr:uid="{1028A0B9-690E-495A-B03C-0882A7E3CD60}">
      <text>
        <r>
          <rPr>
            <b/>
            <sz val="18"/>
            <color indexed="81"/>
            <rFont val="Tahoma"/>
            <family val="2"/>
          </rPr>
          <t xml:space="preserve">James,
Please change to your name and update the date every month
</t>
        </r>
      </text>
    </comment>
    <comment ref="J21" authorId="0" shapeId="0" xr:uid="{CEE9220C-318D-4D81-A3C7-F5A26C6E4422}">
      <text>
        <r>
          <rPr>
            <b/>
            <sz val="18"/>
            <color indexed="81"/>
            <rFont val="Tahoma"/>
            <family val="2"/>
          </rPr>
          <t xml:space="preserve">3 Payrolls </t>
        </r>
      </text>
    </comment>
    <comment ref="O21" authorId="0" shapeId="0" xr:uid="{344EEE21-75A2-4428-9259-0F2DCA1A28AC}">
      <text>
        <r>
          <rPr>
            <b/>
            <sz val="18"/>
            <color indexed="81"/>
            <rFont val="Tahoma"/>
            <family val="2"/>
          </rPr>
          <t xml:space="preserve">3 Payrolls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Lili Liu</author>
  </authors>
  <commentList>
    <comment ref="A5" authorId="0" shapeId="0" xr:uid="{94079FE2-ABC4-4197-BB25-64B7F6BC3E2F}">
      <text>
        <r>
          <rPr>
            <b/>
            <sz val="18"/>
            <color indexed="81"/>
            <rFont val="Tahoma"/>
            <family val="2"/>
          </rPr>
          <t xml:space="preserve">James,
Please change to your name and update the date every month
</t>
        </r>
      </text>
    </comment>
    <comment ref="Y10" authorId="0" shapeId="0" xr:uid="{63056F1D-F714-42F6-8F2E-8D678C957203}">
      <text>
        <r>
          <rPr>
            <b/>
            <sz val="20"/>
            <color indexed="81"/>
            <rFont val="Calibri"/>
            <family val="2"/>
            <scheme val="minor"/>
          </rPr>
          <t xml:space="preserve">Total 2nd PPP = $77,800
</t>
        </r>
      </text>
    </comment>
    <comment ref="J19" authorId="0" shapeId="0" xr:uid="{12E55816-764E-4504-A2F6-9E82D78A6033}">
      <text>
        <r>
          <rPr>
            <b/>
            <sz val="18"/>
            <color indexed="81"/>
            <rFont val="Tahoma"/>
            <family val="2"/>
          </rPr>
          <t xml:space="preserve">3 Payrolls </t>
        </r>
      </text>
    </comment>
    <comment ref="O19" authorId="0" shapeId="0" xr:uid="{4CB375FC-9FBC-494F-9133-A63D0E2BE05C}">
      <text>
        <r>
          <rPr>
            <b/>
            <sz val="18"/>
            <color indexed="81"/>
            <rFont val="Tahoma"/>
            <family val="2"/>
          </rPr>
          <t xml:space="preserve">3 Payrolls </t>
        </r>
      </text>
    </comment>
    <comment ref="A41" authorId="0" shapeId="0" xr:uid="{58E3AF9A-B429-49E2-9BEF-92446E49D6F6}">
      <text>
        <r>
          <rPr>
            <b/>
            <sz val="18"/>
            <color indexed="81"/>
            <rFont val="Tahoma"/>
            <family val="2"/>
          </rPr>
          <t>09/2021 for 2022 Budget: 
(1) This is not an actual expense account; (2) This is your budget Net Surplus, if any
(3) In NS, you won't find this line item. Look at your net Surplus, if any, instead.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Lili Liu</author>
  </authors>
  <commentList>
    <comment ref="A5" authorId="0" shapeId="0" xr:uid="{AD9D811E-BD48-473D-8482-576338E937F2}">
      <text>
        <r>
          <rPr>
            <b/>
            <sz val="18"/>
            <color indexed="81"/>
            <rFont val="Tahoma"/>
            <family val="2"/>
          </rPr>
          <t xml:space="preserve">James,
Please change to your name and update the date every month
</t>
        </r>
      </text>
    </comment>
    <comment ref="Y10" authorId="0" shapeId="0" xr:uid="{43A137C1-9137-4CA3-A979-57E079FC93D0}">
      <text>
        <r>
          <rPr>
            <b/>
            <sz val="20"/>
            <color indexed="81"/>
            <rFont val="Calibri"/>
            <family val="2"/>
            <scheme val="minor"/>
          </rPr>
          <t xml:space="preserve">Total 2nd PPP = $77,800
</t>
        </r>
      </text>
    </comment>
    <comment ref="J19" authorId="0" shapeId="0" xr:uid="{C4D305F1-F8AF-4EEF-945E-99327C6BF210}">
      <text>
        <r>
          <rPr>
            <b/>
            <sz val="18"/>
            <color indexed="81"/>
            <rFont val="Tahoma"/>
            <family val="2"/>
          </rPr>
          <t xml:space="preserve">3 Payrolls </t>
        </r>
      </text>
    </comment>
    <comment ref="O19" authorId="0" shapeId="0" xr:uid="{8449974B-0069-4124-A8A3-0CEB1637DA08}">
      <text>
        <r>
          <rPr>
            <b/>
            <sz val="18"/>
            <color indexed="81"/>
            <rFont val="Tahoma"/>
            <family val="2"/>
          </rPr>
          <t xml:space="preserve">3 Payrolls </t>
        </r>
      </text>
    </comment>
    <comment ref="A41" authorId="0" shapeId="0" xr:uid="{7791A0D6-14E2-4E21-B830-FF5E0307BB6C}">
      <text>
        <r>
          <rPr>
            <b/>
            <sz val="18"/>
            <color indexed="81"/>
            <rFont val="Tahoma"/>
            <family val="2"/>
          </rPr>
          <t>09/2021 for 2022 Budget: 
(1) This is not an actual expense account; (2) This is your budget Net Surplus, if any
(3) In NS, you won't find this line item. Look at your net Surplus, if any, instead.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Lili Liu</author>
  </authors>
  <commentList>
    <comment ref="A5" authorId="0" shapeId="0" xr:uid="{239E4851-E664-489A-8BC9-8FCD29AE8998}">
      <text>
        <r>
          <rPr>
            <b/>
            <sz val="18"/>
            <color indexed="81"/>
            <rFont val="Tahoma"/>
            <family val="2"/>
          </rPr>
          <t xml:space="preserve">James,
Please change to your name and update the date every month
</t>
        </r>
      </text>
    </comment>
    <comment ref="W10" authorId="0" shapeId="0" xr:uid="{E4ECBEE1-7592-4D39-9484-23B01BAE1F06}">
      <text>
        <r>
          <rPr>
            <b/>
            <sz val="20"/>
            <color indexed="81"/>
            <rFont val="Calibri"/>
            <family val="2"/>
            <scheme val="minor"/>
          </rPr>
          <t xml:space="preserve">Total 2nd PPP = $77,800
</t>
        </r>
      </text>
    </comment>
    <comment ref="J21" authorId="0" shapeId="0" xr:uid="{829712B8-DEF5-4867-9A01-0CF892701FAE}">
      <text>
        <r>
          <rPr>
            <b/>
            <sz val="18"/>
            <color indexed="81"/>
            <rFont val="Tahoma"/>
            <family val="2"/>
          </rPr>
          <t xml:space="preserve">3 Payrolls </t>
        </r>
      </text>
    </comment>
    <comment ref="O21" authorId="0" shapeId="0" xr:uid="{6752CEB0-4B5E-453C-BBF6-1FB178AA1787}">
      <text>
        <r>
          <rPr>
            <b/>
            <sz val="18"/>
            <color indexed="81"/>
            <rFont val="Tahoma"/>
            <family val="2"/>
          </rPr>
          <t xml:space="preserve">3 Payrolls </t>
        </r>
      </text>
    </comment>
    <comment ref="A39" authorId="0" shapeId="0" xr:uid="{E61100A3-76EA-428F-AFC0-9790B398830A}">
      <text>
        <r>
          <rPr>
            <b/>
            <sz val="18"/>
            <color indexed="81"/>
            <rFont val="Tahoma"/>
            <family val="2"/>
          </rPr>
          <t>09/2021 for 2022 Budget: 
(1) This is not an actual expense account; (2) This is your budget Net Surplus, if any
(3) In NS, you won't find this line item. Look at your net Surplus, if any, instead.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Lili Liu</author>
  </authors>
  <commentList>
    <comment ref="A39" authorId="0" shapeId="0" xr:uid="{C77B0D3F-9B58-437F-B1D4-14E94EF5A2A3}">
      <text>
        <r>
          <rPr>
            <b/>
            <sz val="18"/>
            <color indexed="81"/>
            <rFont val="Tahoma"/>
            <family val="2"/>
          </rPr>
          <t>09/2021 for 2022 Budget: 
(1) This is not an actual expense account; (2) This is your budget Net Surplus, if any
(3) In NS, you won't find this line item. Look at your net Surplus, if any, instead.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Lili Liu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Lili Liu:</t>
        </r>
        <r>
          <rPr>
            <sz val="9"/>
            <color indexed="81"/>
            <rFont val="Tahoma"/>
            <family val="2"/>
          </rPr>
          <t xml:space="preserve">
Please update the date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Lili Liu</author>
  </authors>
  <commentList>
    <comment ref="C4" authorId="0" shapeId="0" xr:uid="{BB118095-32A9-4C90-B37F-AEFDE43AF0C3}">
      <text>
        <r>
          <rPr>
            <b/>
            <sz val="9"/>
            <color indexed="81"/>
            <rFont val="Tahoma"/>
            <family val="2"/>
          </rPr>
          <t>Lili Liu:</t>
        </r>
        <r>
          <rPr>
            <sz val="9"/>
            <color indexed="81"/>
            <rFont val="Tahoma"/>
            <family val="2"/>
          </rPr>
          <t xml:space="preserve">
Please update the date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Cloee Rohde</author>
  </authors>
  <commentList>
    <comment ref="B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Jeff:</t>
        </r>
        <r>
          <rPr>
            <sz val="9"/>
            <color indexed="81"/>
            <rFont val="Tahoma"/>
            <family val="2"/>
          </rPr>
          <t xml:space="preserve">
Please change the date when you update the R&amp;E.  Thank you.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Catherine Shimizu</author>
    <author>Joan Lombardi</author>
  </authors>
  <commentList>
    <comment ref="V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Catherine Shimizu: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kitchen rental = 3125 in Nov 2015</t>
        </r>
      </text>
    </comment>
    <comment ref="V1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Catherine Shimizu: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Kitchen rental added to food for ratio</t>
        </r>
      </text>
    </comment>
    <comment ref="B45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Joan Lombardi:</t>
        </r>
        <r>
          <rPr>
            <sz val="9"/>
            <color indexed="81"/>
            <rFont val="Tahoma"/>
            <family val="2"/>
          </rPr>
          <t xml:space="preserve">
Jeff has $377.00 </t>
        </r>
      </text>
    </comment>
  </commentList>
</comments>
</file>

<file path=xl/sharedStrings.xml><?xml version="1.0" encoding="utf-8"?>
<sst xmlns="http://schemas.openxmlformats.org/spreadsheetml/2006/main" count="1528" uniqueCount="353">
  <si>
    <t>Updated Actual Revenue &amp; Expenses</t>
  </si>
  <si>
    <t>`</t>
  </si>
  <si>
    <t>JL</t>
  </si>
  <si>
    <t>LODESTAR</t>
  </si>
  <si>
    <t>Updated Projections By:</t>
  </si>
  <si>
    <t>Bk'd G/L</t>
  </si>
  <si>
    <t>Budget</t>
  </si>
  <si>
    <t>Projection</t>
  </si>
  <si>
    <t>FINAL</t>
  </si>
  <si>
    <t>Jeff</t>
  </si>
  <si>
    <t>APPROVED</t>
  </si>
  <si>
    <t xml:space="preserve"> </t>
  </si>
  <si>
    <t>CMS Projections</t>
  </si>
  <si>
    <t>Update</t>
  </si>
  <si>
    <t>ACTUALS</t>
  </si>
  <si>
    <t>REVENUE</t>
  </si>
  <si>
    <t xml:space="preserve">JAN             </t>
  </si>
  <si>
    <t xml:space="preserve">FEB            </t>
  </si>
  <si>
    <t>MAR</t>
  </si>
  <si>
    <t xml:space="preserve">APR                    </t>
  </si>
  <si>
    <t>MAY</t>
  </si>
  <si>
    <t>JUNE</t>
  </si>
  <si>
    <t>JULY</t>
  </si>
  <si>
    <t>AUG</t>
  </si>
  <si>
    <t>SEP</t>
  </si>
  <si>
    <t>OCT</t>
  </si>
  <si>
    <t>NOV</t>
  </si>
  <si>
    <t>DEC</t>
  </si>
  <si>
    <t>Revenue    Total</t>
  </si>
  <si>
    <t>Revenue  Total</t>
  </si>
  <si>
    <t>Over/Under Budget</t>
  </si>
  <si>
    <t>Food - 4158a/4159</t>
  </si>
  <si>
    <t>Lodging - 4162</t>
  </si>
  <si>
    <t>Subsidy - 4163</t>
  </si>
  <si>
    <t>Maint Reserves Rebate - 4166</t>
  </si>
  <si>
    <r>
      <t xml:space="preserve">Promotional Items-4165 &amp; </t>
    </r>
    <r>
      <rPr>
        <b/>
        <sz val="20"/>
        <color indexed="12"/>
        <rFont val="Arial"/>
        <family val="2"/>
      </rPr>
      <t xml:space="preserve">Ropes-4161 </t>
    </r>
  </si>
  <si>
    <r>
      <t xml:space="preserve">Interest </t>
    </r>
    <r>
      <rPr>
        <b/>
        <sz val="20"/>
        <color indexed="48"/>
        <rFont val="Arial"/>
        <family val="2"/>
      </rPr>
      <t>&amp; OtherIncome</t>
    </r>
    <r>
      <rPr>
        <b/>
        <sz val="20"/>
        <color indexed="8"/>
        <rFont val="Arial"/>
        <family val="2"/>
      </rPr>
      <t xml:space="preserve">- 4164  </t>
    </r>
    <r>
      <rPr>
        <b/>
        <sz val="20"/>
        <color indexed="48"/>
        <rFont val="Arial"/>
        <family val="2"/>
      </rPr>
      <t>4700</t>
    </r>
  </si>
  <si>
    <t>TOTAL REVENUE</t>
  </si>
  <si>
    <t>Site Projected Revenue updated</t>
  </si>
  <si>
    <t xml:space="preserve">Blended Rate </t>
  </si>
  <si>
    <t>MDS  750</t>
  </si>
  <si>
    <r>
      <t xml:space="preserve">USER DAYS </t>
    </r>
    <r>
      <rPr>
        <b/>
        <u/>
        <sz val="20"/>
        <color indexed="48"/>
        <rFont val="Arial"/>
        <family val="2"/>
      </rPr>
      <t>(or Site Projections)</t>
    </r>
  </si>
  <si>
    <t>EXPENSES</t>
  </si>
  <si>
    <t>Expense    Total</t>
  </si>
  <si>
    <t>Expense  Total</t>
  </si>
  <si>
    <t>Site Updated Proj'd Exp</t>
  </si>
  <si>
    <t>Administration Fees - 5189</t>
  </si>
  <si>
    <r>
      <t>Payroll - 5170a</t>
    </r>
    <r>
      <rPr>
        <b/>
        <sz val="20"/>
        <color indexed="16"/>
        <rFont val="Arial"/>
        <family val="2"/>
      </rPr>
      <t xml:space="preserve"> (Expensed)</t>
    </r>
  </si>
  <si>
    <t>Employee Benefits - 5188</t>
  </si>
  <si>
    <t>Staff Training - 5183</t>
  </si>
  <si>
    <t>Food - 5172</t>
  </si>
  <si>
    <t>Food Related - 5173</t>
  </si>
  <si>
    <t>Utilities - 5177</t>
  </si>
  <si>
    <t>Fire\Liability Insurance - 5176</t>
  </si>
  <si>
    <t>Health\Accident Insurance - 5190</t>
  </si>
  <si>
    <r>
      <t>Maint/</t>
    </r>
    <r>
      <rPr>
        <b/>
        <sz val="20"/>
        <color indexed="48"/>
        <rFont val="Arial"/>
        <family val="2"/>
      </rPr>
      <t>Empmnt</t>
    </r>
    <r>
      <rPr>
        <b/>
        <sz val="20"/>
        <color indexed="8"/>
        <rFont val="Arial"/>
        <family val="2"/>
      </rPr>
      <t xml:space="preserve"> Services - 5179/</t>
    </r>
    <r>
      <rPr>
        <b/>
        <sz val="20"/>
        <color indexed="48"/>
        <rFont val="Arial"/>
        <family val="2"/>
      </rPr>
      <t>5182 5171</t>
    </r>
  </si>
  <si>
    <t>Maintenance Repair/Supply - 5180</t>
  </si>
  <si>
    <t>MajorMaint/Reserve Funding - 5192</t>
  </si>
  <si>
    <r>
      <t>Transportation/</t>
    </r>
    <r>
      <rPr>
        <b/>
        <sz val="20"/>
        <color indexed="48"/>
        <rFont val="Arial"/>
        <family val="2"/>
      </rPr>
      <t>Travel</t>
    </r>
    <r>
      <rPr>
        <b/>
        <sz val="20"/>
        <color indexed="8"/>
        <rFont val="Arial"/>
        <family val="2"/>
      </rPr>
      <t xml:space="preserve"> - 5185/</t>
    </r>
    <r>
      <rPr>
        <b/>
        <sz val="20"/>
        <color indexed="48"/>
        <rFont val="Arial"/>
        <family val="2"/>
      </rPr>
      <t>5181</t>
    </r>
  </si>
  <si>
    <t>Office Supplies - 5186</t>
  </si>
  <si>
    <t>%</t>
  </si>
  <si>
    <r>
      <t>Dues\Taxes\Asmnts\</t>
    </r>
    <r>
      <rPr>
        <b/>
        <sz val="20"/>
        <color indexed="48"/>
        <rFont val="Arial"/>
        <family val="2"/>
      </rPr>
      <t>Fees</t>
    </r>
    <r>
      <rPr>
        <b/>
        <sz val="20"/>
        <color indexed="8"/>
        <rFont val="Arial"/>
        <family val="2"/>
      </rPr>
      <t>-5184\</t>
    </r>
    <r>
      <rPr>
        <b/>
        <sz val="20"/>
        <color indexed="48"/>
        <rFont val="Arial"/>
        <family val="2"/>
      </rPr>
      <t>5178 5191</t>
    </r>
  </si>
  <si>
    <r>
      <t>PromoPur5195/Misc-5999</t>
    </r>
    <r>
      <rPr>
        <b/>
        <sz val="20"/>
        <color indexed="20"/>
        <rFont val="Arial"/>
        <family val="2"/>
      </rPr>
      <t>/5175PYA</t>
    </r>
  </si>
  <si>
    <t>TOTAL EXPENSES</t>
  </si>
  <si>
    <t>Payroll-(calendar month) Reported</t>
  </si>
  <si>
    <t>NET SURPLUS &lt;DEFICIT&gt;</t>
  </si>
  <si>
    <t>Cumulative Surplus &lt;Deficit&gt;</t>
  </si>
  <si>
    <t xml:space="preserve"> Surplus/Deficit plus Reserve allocation</t>
  </si>
  <si>
    <t>2017 BUDGET</t>
  </si>
  <si>
    <t>Draft</t>
  </si>
  <si>
    <t>Prelim</t>
  </si>
  <si>
    <t>2/18/2017 Updated</t>
  </si>
  <si>
    <t>RTS UA Est. U/D as of  03/19/17</t>
  </si>
  <si>
    <t>RTS UA Est Revenue as of 03/19/17</t>
  </si>
  <si>
    <t>3/19/2017 updated prelim</t>
  </si>
  <si>
    <t>UPDATE for 2018 RATES</t>
  </si>
  <si>
    <t>Amounts below reflect 2017 Projections, update for 2018 Rates</t>
  </si>
  <si>
    <t>LL</t>
  </si>
  <si>
    <t>Updated Projections</t>
  </si>
  <si>
    <t xml:space="preserve">Preliminary </t>
  </si>
  <si>
    <t>2018</t>
  </si>
  <si>
    <t>BUDGET</t>
  </si>
  <si>
    <t xml:space="preserve">JAN </t>
  </si>
  <si>
    <t xml:space="preserve">FEB </t>
  </si>
  <si>
    <t xml:space="preserve">MAR </t>
  </si>
  <si>
    <t>APRIL</t>
  </si>
  <si>
    <t>USER DAYS</t>
  </si>
  <si>
    <t>Final</t>
  </si>
  <si>
    <t>Projected  Revenue Total</t>
  </si>
  <si>
    <t xml:space="preserve">  Food - 4158a/4159</t>
  </si>
  <si>
    <t xml:space="preserve">  Lodging - 4162</t>
  </si>
  <si>
    <t xml:space="preserve">  Subsidy - 4163</t>
  </si>
  <si>
    <t xml:space="preserve">  Ropes-4161 </t>
  </si>
  <si>
    <r>
      <t xml:space="preserve">  Other Misc Income</t>
    </r>
    <r>
      <rPr>
        <b/>
        <sz val="20"/>
        <color theme="1"/>
        <rFont val="Arial"/>
        <family val="2"/>
      </rPr>
      <t xml:space="preserve">  4700 + 4164</t>
    </r>
  </si>
  <si>
    <t xml:space="preserve">RTS UA Projected Revenue as of </t>
  </si>
  <si>
    <t xml:space="preserve">RTS UA Projected UDs as of  </t>
  </si>
  <si>
    <t>Projected  Expense Total</t>
  </si>
  <si>
    <t xml:space="preserve">  Administration Fees - 5189</t>
  </si>
  <si>
    <t xml:space="preserve">  Payroll - 5170a (Expensed)</t>
  </si>
  <si>
    <t xml:space="preserve">  Employee Benefits - 5188(a-g)</t>
  </si>
  <si>
    <t xml:space="preserve">  Staff Training - 5183</t>
  </si>
  <si>
    <t xml:space="preserve">  Food - 5172</t>
  </si>
  <si>
    <t xml:space="preserve">  Food Related - 5173</t>
  </si>
  <si>
    <t xml:space="preserve">  Utilities - 5177</t>
  </si>
  <si>
    <t xml:space="preserve">  Fire\Liability Insurance - 5176(a-d)</t>
  </si>
  <si>
    <r>
      <t xml:space="preserve">  Maintenance Services -</t>
    </r>
    <r>
      <rPr>
        <b/>
        <sz val="16"/>
        <color indexed="8"/>
        <rFont val="Arial"/>
        <family val="2"/>
      </rPr>
      <t xml:space="preserve"> 5179, </t>
    </r>
    <r>
      <rPr>
        <b/>
        <sz val="16"/>
        <color indexed="48"/>
        <rFont val="Arial"/>
        <family val="2"/>
      </rPr>
      <t>5182 5171</t>
    </r>
  </si>
  <si>
    <t xml:space="preserve">  Maintenance Repair/Supply - 5180</t>
  </si>
  <si>
    <t xml:space="preserve">  Major Maintenance Reserve - 5192</t>
  </si>
  <si>
    <t xml:space="preserve">  Travel\Transportation - 5181, 5185</t>
  </si>
  <si>
    <t xml:space="preserve">  Office Supplies - 5186</t>
  </si>
  <si>
    <r>
      <t xml:space="preserve">  Dues\Taxes\</t>
    </r>
    <r>
      <rPr>
        <b/>
        <sz val="16"/>
        <color indexed="8"/>
        <rFont val="Arial"/>
        <family val="2"/>
      </rPr>
      <t xml:space="preserve">Assessments </t>
    </r>
    <r>
      <rPr>
        <sz val="16"/>
        <color indexed="8"/>
        <rFont val="Arial"/>
        <family val="2"/>
      </rPr>
      <t xml:space="preserve">- 5178 - 5184 - 5191 </t>
    </r>
  </si>
  <si>
    <r>
      <t xml:space="preserve">  Misc. Exp to Classify</t>
    </r>
    <r>
      <rPr>
        <b/>
        <sz val="16"/>
        <color indexed="8"/>
        <rFont val="Arial"/>
        <family val="2"/>
      </rPr>
      <t xml:space="preserve"> - 5999+Prom5195</t>
    </r>
  </si>
  <si>
    <t>Updated</t>
  </si>
  <si>
    <t>REVENUE &amp; EXPENSE PROJECTIONS</t>
  </si>
  <si>
    <t>Font Color Legend</t>
  </si>
  <si>
    <t>2018 Accounting R&amp;E</t>
  </si>
  <si>
    <t>By: Jeff</t>
  </si>
  <si>
    <t>06/18/2018</t>
  </si>
  <si>
    <t>Booked in  G/L</t>
  </si>
  <si>
    <t xml:space="preserve">Projected 2018 Over /(Under)  Budget </t>
  </si>
  <si>
    <t>Recap</t>
  </si>
  <si>
    <t>Site Actual Rev. Updated from Completed UA</t>
  </si>
  <si>
    <t xml:space="preserve">        YTD</t>
  </si>
  <si>
    <t>Site Actual UDs Updated from Completed UA</t>
  </si>
  <si>
    <t xml:space="preserve"> -   </t>
  </si>
  <si>
    <t>S</t>
  </si>
  <si>
    <t>Recap Adm Fee</t>
  </si>
  <si>
    <t>LOD Ins Total</t>
  </si>
  <si>
    <t xml:space="preserve">  Health\Accident Insurance - 5190</t>
  </si>
  <si>
    <t>Payroll</t>
  </si>
  <si>
    <t>YTD Actual</t>
  </si>
  <si>
    <t>Benefits</t>
  </si>
  <si>
    <t>24% Per F&amp;L Only</t>
  </si>
  <si>
    <t>Cumulative Revenue</t>
  </si>
  <si>
    <t>Admin Fee Recap</t>
  </si>
  <si>
    <t xml:space="preserve">Food &amp; Lodging Revenue Only </t>
  </si>
  <si>
    <t>Total Expense</t>
  </si>
  <si>
    <t>P/R Benefits as of total Exp</t>
  </si>
  <si>
    <t>Input WKS</t>
  </si>
  <si>
    <t>YTD</t>
  </si>
  <si>
    <t>Preliminary</t>
  </si>
  <si>
    <t>2019</t>
  </si>
  <si>
    <t>Please Update Your Monthly Projeciton for 2020 Budget</t>
  </si>
  <si>
    <r>
      <rPr>
        <sz val="16"/>
        <color indexed="20"/>
        <rFont val="Arial"/>
        <family val="2"/>
      </rPr>
      <t>By</t>
    </r>
    <r>
      <rPr>
        <sz val="18"/>
        <color indexed="20"/>
        <rFont val="Arial"/>
        <family val="2"/>
      </rPr>
      <t>:  Jeff</t>
    </r>
  </si>
  <si>
    <t>TOC - 2021 Budget</t>
  </si>
  <si>
    <t>Update for 2021 Budget</t>
  </si>
  <si>
    <t>Update &gt;&gt;</t>
  </si>
  <si>
    <t xml:space="preserve">Projected  Expense </t>
  </si>
  <si>
    <t xml:space="preserve">Projected  Revenue </t>
  </si>
  <si>
    <r>
      <t xml:space="preserve">Admin Fees - </t>
    </r>
    <r>
      <rPr>
        <sz val="18"/>
        <color rgb="FF000000"/>
        <rFont val="Arial"/>
        <family val="2"/>
      </rPr>
      <t>$3,500 If Rev Under $12,000</t>
    </r>
  </si>
  <si>
    <r>
      <t>Admin Fees - 16.9</t>
    </r>
    <r>
      <rPr>
        <sz val="18"/>
        <color rgb="FF000000"/>
        <rFont val="Arial"/>
        <family val="2"/>
      </rPr>
      <t>% for Rev over $12,000</t>
    </r>
  </si>
  <si>
    <r>
      <t xml:space="preserve">TOC - </t>
    </r>
    <r>
      <rPr>
        <b/>
        <strike/>
        <sz val="36"/>
        <color rgb="FF0000CC"/>
        <rFont val="Calibri"/>
        <family val="2"/>
        <scheme val="minor"/>
      </rPr>
      <t>2021 Budget</t>
    </r>
    <r>
      <rPr>
        <sz val="36"/>
        <color rgb="FFC00000"/>
        <rFont val="Calibri"/>
        <family val="2"/>
        <scheme val="minor"/>
      </rPr>
      <t xml:space="preserve">    Rates 2022 JC  4/7/2021</t>
    </r>
  </si>
  <si>
    <t>Tall Oaks</t>
  </si>
  <si>
    <t>Updated Projections for</t>
  </si>
  <si>
    <t>Based on YTD Actual Revenue &amp; Expenses</t>
  </si>
  <si>
    <r>
      <t xml:space="preserve">  Payroll -</t>
    </r>
    <r>
      <rPr>
        <i/>
        <sz val="20"/>
        <color rgb="FF000000"/>
        <rFont val="Arial"/>
        <family val="2"/>
      </rPr>
      <t xml:space="preserve"> 5100</t>
    </r>
  </si>
  <si>
    <r>
      <t xml:space="preserve">  Food - </t>
    </r>
    <r>
      <rPr>
        <i/>
        <sz val="20"/>
        <color rgb="FF000000"/>
        <rFont val="Arial"/>
        <family val="2"/>
      </rPr>
      <t>6210</t>
    </r>
  </si>
  <si>
    <r>
      <t xml:space="preserve">  Food Related - </t>
    </r>
    <r>
      <rPr>
        <i/>
        <sz val="20"/>
        <color rgb="FF000000"/>
        <rFont val="Arial"/>
        <family val="2"/>
      </rPr>
      <t>6220</t>
    </r>
  </si>
  <si>
    <r>
      <t xml:space="preserve">  Utilities - </t>
    </r>
    <r>
      <rPr>
        <i/>
        <sz val="20"/>
        <color rgb="FF000000"/>
        <rFont val="Arial"/>
        <family val="2"/>
      </rPr>
      <t>6300</t>
    </r>
  </si>
  <si>
    <r>
      <t xml:space="preserve">  Fire\Liability Insurance - </t>
    </r>
    <r>
      <rPr>
        <i/>
        <sz val="20"/>
        <color rgb="FF000000"/>
        <rFont val="Arial"/>
        <family val="2"/>
      </rPr>
      <t>6410</t>
    </r>
  </si>
  <si>
    <r>
      <t xml:space="preserve">  Maintenance Services - </t>
    </r>
    <r>
      <rPr>
        <i/>
        <sz val="20"/>
        <color rgb="FF000000"/>
        <rFont val="Arial"/>
        <family val="2"/>
      </rPr>
      <t>6510</t>
    </r>
  </si>
  <si>
    <r>
      <t xml:space="preserve">  Maintenance Repair/Supply - </t>
    </r>
    <r>
      <rPr>
        <i/>
        <sz val="20"/>
        <color rgb="FF000000"/>
        <rFont val="Arial"/>
        <family val="2"/>
      </rPr>
      <t>6520</t>
    </r>
  </si>
  <si>
    <r>
      <t>Travel/</t>
    </r>
    <r>
      <rPr>
        <b/>
        <sz val="20"/>
        <color indexed="8"/>
        <rFont val="Arial"/>
        <family val="2"/>
      </rPr>
      <t xml:space="preserve">Transportation - </t>
    </r>
    <r>
      <rPr>
        <i/>
        <sz val="20"/>
        <color rgb="FF000000"/>
        <rFont val="Arial"/>
        <family val="2"/>
      </rPr>
      <t>7200</t>
    </r>
  </si>
  <si>
    <r>
      <t xml:space="preserve">Office Supplies - </t>
    </r>
    <r>
      <rPr>
        <i/>
        <sz val="20"/>
        <color rgb="FF000000"/>
        <rFont val="Arial"/>
        <family val="2"/>
      </rPr>
      <t>7800</t>
    </r>
  </si>
  <si>
    <r>
      <t xml:space="preserve">Dues\Taxes\Assesmnts- </t>
    </r>
    <r>
      <rPr>
        <i/>
        <sz val="20"/>
        <color rgb="FF000000"/>
        <rFont val="Arial"/>
        <family val="2"/>
      </rPr>
      <t>7400</t>
    </r>
  </si>
  <si>
    <t xml:space="preserve">Computer Hardware/Software - 7840 </t>
  </si>
  <si>
    <t xml:space="preserve">Misc Office Expense - 7900 </t>
  </si>
  <si>
    <r>
      <t xml:space="preserve">  Employee Benefits - </t>
    </r>
    <r>
      <rPr>
        <i/>
        <sz val="20"/>
        <color rgb="FF000000"/>
        <rFont val="Arial"/>
        <family val="2"/>
      </rPr>
      <t>5200</t>
    </r>
  </si>
  <si>
    <r>
      <t xml:space="preserve">  Staff Training  and Apprec. - </t>
    </r>
    <r>
      <rPr>
        <i/>
        <sz val="20"/>
        <color rgb="FF000000"/>
        <rFont val="Arial"/>
        <family val="2"/>
      </rPr>
      <t>5400</t>
    </r>
  </si>
  <si>
    <t>Major Maintenance Reserve - N/A</t>
  </si>
  <si>
    <r>
      <t xml:space="preserve">  Food - </t>
    </r>
    <r>
      <rPr>
        <i/>
        <sz val="20"/>
        <color rgb="FF000000"/>
        <rFont val="Arial"/>
        <family val="2"/>
      </rPr>
      <t>4200</t>
    </r>
  </si>
  <si>
    <r>
      <t xml:space="preserve">  Lodging - </t>
    </r>
    <r>
      <rPr>
        <i/>
        <sz val="20"/>
        <color rgb="FF000000"/>
        <rFont val="Arial"/>
        <family val="2"/>
      </rPr>
      <t>4300</t>
    </r>
  </si>
  <si>
    <r>
      <rPr>
        <b/>
        <sz val="20"/>
        <color rgb="FF000000"/>
        <rFont val="Arial"/>
        <family val="2"/>
      </rPr>
      <t xml:space="preserve">  Miscellaneous</t>
    </r>
    <r>
      <rPr>
        <sz val="20"/>
        <color indexed="8"/>
        <rFont val="Arial"/>
        <family val="2"/>
      </rPr>
      <t xml:space="preserve"> Income - 4700 </t>
    </r>
  </si>
  <si>
    <r>
      <t xml:space="preserve">  </t>
    </r>
    <r>
      <rPr>
        <b/>
        <sz val="20"/>
        <color rgb="FF000000"/>
        <rFont val="Arial"/>
        <family val="2"/>
      </rPr>
      <t>5% Onwer Rebate</t>
    </r>
    <r>
      <rPr>
        <sz val="20"/>
        <color indexed="8"/>
        <rFont val="Arial"/>
        <family val="2"/>
      </rPr>
      <t xml:space="preserve"> - 4805</t>
    </r>
  </si>
  <si>
    <t xml:space="preserve">  Administration Fees - 6100</t>
  </si>
  <si>
    <t>Net Income</t>
  </si>
  <si>
    <t>Net Other Income</t>
  </si>
  <si>
    <t>Total - Other Expense</t>
  </si>
  <si>
    <t>Total - 9500 - Project - Facility Related</t>
  </si>
  <si>
    <t>9510 - Proj:Equipment &amp; Software</t>
  </si>
  <si>
    <t>9500 - Project - Facility Related</t>
  </si>
  <si>
    <t>Other Expense</t>
  </si>
  <si>
    <t>Total - Other Income</t>
  </si>
  <si>
    <t>Total - 9000 - Other Income</t>
  </si>
  <si>
    <t>9020 - Owner Grants for Projects</t>
  </si>
  <si>
    <t>9000 - Other Income</t>
  </si>
  <si>
    <t>Other Income</t>
  </si>
  <si>
    <t>Other Income and Expenses</t>
  </si>
  <si>
    <t>Net Ordinary Income</t>
  </si>
  <si>
    <t>Total - Expense</t>
  </si>
  <si>
    <t>Total - 8000 - Other Expense</t>
  </si>
  <si>
    <t>8600 - Miscellaneous expense</t>
  </si>
  <si>
    <t>8000 - Other Expense</t>
  </si>
  <si>
    <t>Total - 7000 - Office &amp; Operational Expense</t>
  </si>
  <si>
    <t>Total - 7800 - Professional Services Expense</t>
  </si>
  <si>
    <t>7840 - Computer Hardware/Software</t>
  </si>
  <si>
    <t>7800 - Professional Services Expense</t>
  </si>
  <si>
    <t>Total - 7200 - Travel</t>
  </si>
  <si>
    <t>7220 - Transportation-Sites</t>
  </si>
  <si>
    <t>7200 - Travel</t>
  </si>
  <si>
    <t>Total - 7100 - Supplies</t>
  </si>
  <si>
    <t>7110 - Office Supplies</t>
  </si>
  <si>
    <t>7100 - Supplies</t>
  </si>
  <si>
    <t>7000 - Office &amp; Operational Expense</t>
  </si>
  <si>
    <t>Total - 6000 - Site Expense</t>
  </si>
  <si>
    <t>Total - 6500 - Facility Maintenance and Equipment</t>
  </si>
  <si>
    <t>6520 - Maintenance Repairs/Supplies</t>
  </si>
  <si>
    <t>6510 - Maintenance Services</t>
  </si>
  <si>
    <t>6500 - Facility Maintenance and Equipment</t>
  </si>
  <si>
    <t>Total - 6400 - Insurance</t>
  </si>
  <si>
    <t>6420 - Property Insurance</t>
  </si>
  <si>
    <t>6410 - Liability Insurance</t>
  </si>
  <si>
    <t>6400 - Insurance</t>
  </si>
  <si>
    <t>6300 - Utility Expense</t>
  </si>
  <si>
    <t>Total - 6200 - Food &amp; Food Related</t>
  </si>
  <si>
    <t>6220 - Food Related</t>
  </si>
  <si>
    <t>6210 - Food</t>
  </si>
  <si>
    <t>6200 - Food &amp; Food Related</t>
  </si>
  <si>
    <t>Total - 6100 - Coop Services &amp; Fees</t>
  </si>
  <si>
    <t>6110 - Cooperative Fee</t>
  </si>
  <si>
    <t>6100 - Coop Services &amp; Fees</t>
  </si>
  <si>
    <t>6000 - Site Expense</t>
  </si>
  <si>
    <t>Total - 5000 - Personnel</t>
  </si>
  <si>
    <t>Total - 5400 - Training &amp; Appreciation</t>
  </si>
  <si>
    <t>5410 - Staff Training</t>
  </si>
  <si>
    <t>5400 - Training &amp; Appreciation</t>
  </si>
  <si>
    <t>Total - 5200 - Benefits</t>
  </si>
  <si>
    <t>5270 - Workers Compensation Expense</t>
  </si>
  <si>
    <t>5260 - Unemployment Insurance Expense</t>
  </si>
  <si>
    <t>5240 - LTD/ADD/Life Expense</t>
  </si>
  <si>
    <t>Total - 5230 - Healthcare Expense</t>
  </si>
  <si>
    <t>5232 - Blue Cross Expense</t>
  </si>
  <si>
    <t>5230 - Healthcare Expense</t>
  </si>
  <si>
    <t>5220 - ER FICA</t>
  </si>
  <si>
    <t>5210 - ER 403b Contribution</t>
  </si>
  <si>
    <t>5200 - Benefits</t>
  </si>
  <si>
    <t>Total - 5100 - Salaries</t>
  </si>
  <si>
    <t>5120 - Vacation Expense</t>
  </si>
  <si>
    <t>5100 - Salaries</t>
  </si>
  <si>
    <t>5000 - Personnel</t>
  </si>
  <si>
    <t>Expense</t>
  </si>
  <si>
    <t>Gross Profit</t>
  </si>
  <si>
    <t>Total - Income</t>
  </si>
  <si>
    <t>Total - 4700 - Miscellaneous Income</t>
  </si>
  <si>
    <t>4720 - Interest Earned</t>
  </si>
  <si>
    <t>4700 - Miscellaneous Income</t>
  </si>
  <si>
    <t>4520 - Donations</t>
  </si>
  <si>
    <t>4400 - Owner Subsidy</t>
  </si>
  <si>
    <t>4300 - Lodging</t>
  </si>
  <si>
    <t>Total - 4200 - Food Service</t>
  </si>
  <si>
    <t>4220 - Food Service Non Taxable</t>
  </si>
  <si>
    <t>4210 - Food Service Taxable</t>
  </si>
  <si>
    <t>4200 - Food Service</t>
  </si>
  <si>
    <t>Income</t>
  </si>
  <si>
    <t>Ordinary Income/Expense</t>
  </si>
  <si>
    <t>Amount</t>
  </si>
  <si>
    <t> </t>
  </si>
  <si>
    <t>Total</t>
  </si>
  <si>
    <t>Dec 2020</t>
  </si>
  <si>
    <t>Nov 2020</t>
  </si>
  <si>
    <t>Oct 2020</t>
  </si>
  <si>
    <t>Sep 2020</t>
  </si>
  <si>
    <t>Aug 2020</t>
  </si>
  <si>
    <t>Jul 2020</t>
  </si>
  <si>
    <t>Jun 2020</t>
  </si>
  <si>
    <t>Financial Row</t>
  </si>
  <si>
    <t/>
  </si>
  <si>
    <t>TOC Monthly Income Statement 2020</t>
  </si>
  <si>
    <t>Parent (Consolidation) : Parent Consolidation : TOC</t>
  </si>
  <si>
    <t>United Camps Conferences and Retreats</t>
  </si>
  <si>
    <r>
      <rPr>
        <b/>
        <sz val="16"/>
        <color indexed="20"/>
        <rFont val="Arial"/>
        <family val="2"/>
      </rPr>
      <t>By</t>
    </r>
    <r>
      <rPr>
        <b/>
        <sz val="18"/>
        <color indexed="20"/>
        <rFont val="Arial"/>
        <family val="2"/>
      </rPr>
      <t xml:space="preserve">:  4  staff  &gt;&gt;&gt;&gt;  Updated at </t>
    </r>
  </si>
  <si>
    <t>10/05/2021</t>
  </si>
  <si>
    <t>7900 - Misc Office Expense</t>
  </si>
  <si>
    <t>Total - 7400 - Taxes, Dues and Fees</t>
  </si>
  <si>
    <t>7450 - Taxes &amp; Assessments</t>
  </si>
  <si>
    <t>7430 - Interest Expense</t>
  </si>
  <si>
    <t>7410 - Licenses, Dues, Mbrshps, Fees</t>
  </si>
  <si>
    <t>7400 - Taxes, Dues and Fees</t>
  </si>
  <si>
    <t>Total - 7300 - Marketing &amp; Promotion</t>
  </si>
  <si>
    <t>7310 - Marketing / Promotional</t>
  </si>
  <si>
    <t>7300 - Marketing &amp; Promotion</t>
  </si>
  <si>
    <t>7210 - Travel Within Coop-WLF</t>
  </si>
  <si>
    <t>7120 - Program Supplies</t>
  </si>
  <si>
    <t>6430 - Accident/Camper Insurance</t>
  </si>
  <si>
    <t>5500 - Contract Labor</t>
  </si>
  <si>
    <t>5420 - Staff Appreciation</t>
  </si>
  <si>
    <t>5300 - Employment Services</t>
  </si>
  <si>
    <t>4805 - 5% Owner Rebate</t>
  </si>
  <si>
    <t>4750 - Discount/Write Off/Conv Fee</t>
  </si>
  <si>
    <t>4710 - Ropes Course Program Fees</t>
  </si>
  <si>
    <t>4515 - PPP Funding</t>
  </si>
  <si>
    <t>Aug 2021</t>
  </si>
  <si>
    <t>Jul 2021</t>
  </si>
  <si>
    <t>Jun 2021</t>
  </si>
  <si>
    <t>May 2021</t>
  </si>
  <si>
    <t>Apr 2021</t>
  </si>
  <si>
    <t>Mar 2021</t>
  </si>
  <si>
    <t>Feb 2021</t>
  </si>
  <si>
    <t>Jan 2021</t>
  </si>
  <si>
    <t>TOC (2) Monthly Income Statement 2021</t>
  </si>
  <si>
    <t xml:space="preserve">2021 Actual </t>
  </si>
  <si>
    <t xml:space="preserve">&amp; Projected </t>
  </si>
  <si>
    <t>As of 08/31/2021</t>
  </si>
  <si>
    <t>Revenue      Total</t>
  </si>
  <si>
    <r>
      <t xml:space="preserve">  Subsidy -  </t>
    </r>
    <r>
      <rPr>
        <sz val="20"/>
        <color theme="1"/>
        <rFont val="Arial"/>
        <family val="2"/>
      </rPr>
      <t>4400</t>
    </r>
    <r>
      <rPr>
        <b/>
        <sz val="20"/>
        <color theme="1"/>
        <rFont val="Arial"/>
        <family val="2"/>
      </rPr>
      <t xml:space="preserve"> + PPP</t>
    </r>
  </si>
  <si>
    <r>
      <t>USER DAYS</t>
    </r>
    <r>
      <rPr>
        <b/>
        <sz val="20"/>
        <color rgb="FF000000"/>
        <rFont val="Arial"/>
        <family val="2"/>
      </rPr>
      <t xml:space="preserve">    </t>
    </r>
    <r>
      <rPr>
        <b/>
        <u/>
        <sz val="20"/>
        <color indexed="8"/>
        <rFont val="Arial"/>
        <family val="2"/>
      </rPr>
      <t>SD Proj.</t>
    </r>
    <r>
      <rPr>
        <b/>
        <sz val="20"/>
        <color rgb="FF000000"/>
        <rFont val="Arial"/>
        <family val="2"/>
      </rPr>
      <t xml:space="preserve">    </t>
    </r>
  </si>
  <si>
    <t>Update &gt;</t>
  </si>
  <si>
    <t>9020 - Grants / Owner Grants for Projects</t>
  </si>
  <si>
    <t>7420 - Fees-Merchant, Payroll, Bank</t>
  </si>
  <si>
    <t>Dec 2021</t>
  </si>
  <si>
    <t>Nov 2021</t>
  </si>
  <si>
    <t>Oct 2021</t>
  </si>
  <si>
    <t>Sep 2021</t>
  </si>
  <si>
    <t>From Jan 2021 to Dec 2021</t>
  </si>
  <si>
    <t>2022  Approved Budget</t>
  </si>
  <si>
    <t>2022 Updated Projection</t>
  </si>
  <si>
    <t>2021 Preliminary</t>
  </si>
  <si>
    <r>
      <t xml:space="preserve">  </t>
    </r>
    <r>
      <rPr>
        <b/>
        <sz val="20"/>
        <color rgb="FF000000"/>
        <rFont val="Arial"/>
        <family val="2"/>
      </rPr>
      <t>5% Owner Rebate</t>
    </r>
    <r>
      <rPr>
        <sz val="20"/>
        <color indexed="8"/>
        <rFont val="Arial"/>
        <family val="2"/>
      </rPr>
      <t xml:space="preserve"> - 4805</t>
    </r>
  </si>
  <si>
    <t xml:space="preserve">  Grant - PPP - 4515</t>
  </si>
  <si>
    <t>Owner Subsidy</t>
  </si>
  <si>
    <t>Based on YTD Actual Revenue &amp; Expenses as of 04/30/2022</t>
  </si>
  <si>
    <t>05/31/2022</t>
  </si>
  <si>
    <r>
      <rPr>
        <b/>
        <sz val="20"/>
        <color rgb="FF800080"/>
        <rFont val="Arial"/>
        <family val="2"/>
      </rPr>
      <t xml:space="preserve">By:  </t>
    </r>
    <r>
      <rPr>
        <b/>
        <sz val="20"/>
        <color indexed="20"/>
        <rFont val="Arial"/>
        <family val="2"/>
      </rPr>
      <t xml:space="preserve">SD  &gt;&gt;&gt;&gt;  Updated at </t>
    </r>
  </si>
  <si>
    <t>Updated Projections for Year</t>
  </si>
  <si>
    <t>Booked in NetSuite - Months Closed</t>
  </si>
  <si>
    <t xml:space="preserve">Final </t>
  </si>
  <si>
    <t>Updated 2022 Projection vs. 2022 Budget</t>
  </si>
  <si>
    <r>
      <t>USER DAYS</t>
    </r>
    <r>
      <rPr>
        <b/>
        <sz val="20"/>
        <color rgb="FF000000"/>
        <rFont val="Arial"/>
        <family val="2"/>
      </rPr>
      <t xml:space="preserve">  /  Booked &amp; </t>
    </r>
    <r>
      <rPr>
        <b/>
        <sz val="20"/>
        <color indexed="8"/>
        <rFont val="Arial"/>
        <family val="2"/>
      </rPr>
      <t>Projected by SD</t>
    </r>
    <r>
      <rPr>
        <b/>
        <sz val="20"/>
        <color rgb="FF000000"/>
        <rFont val="Arial"/>
        <family val="2"/>
      </rPr>
      <t xml:space="preserve">    </t>
    </r>
  </si>
  <si>
    <t xml:space="preserve">  Personnel</t>
  </si>
  <si>
    <t xml:space="preserve">  Major Maintenance Reserve - N/A</t>
  </si>
  <si>
    <t xml:space="preserve">  Site Expense</t>
  </si>
  <si>
    <t xml:space="preserve">  Office &amp; Operational Expense</t>
  </si>
  <si>
    <t>Over / Under Budget</t>
  </si>
  <si>
    <t xml:space="preserve"> OWBER GRANT - SUBSIDY</t>
  </si>
  <si>
    <t>Cumulative Surplus &lt;Deficit&gt;                              AFTER Owner's Subsidy</t>
  </si>
  <si>
    <t>NET SURPLUS &lt;DEFICIT&gt;                                             AFTER Owner's Subsidy</t>
  </si>
  <si>
    <t xml:space="preserve">  ERC (Employee Retention Credit)</t>
  </si>
  <si>
    <t>James original</t>
  </si>
  <si>
    <t>ERC Rev</t>
  </si>
  <si>
    <t>PR</t>
  </si>
  <si>
    <t>PR Tax / benefit</t>
  </si>
  <si>
    <t xml:space="preserve"> OWNER GRANT - SUBSIDY</t>
  </si>
  <si>
    <t>Cumulative</t>
  </si>
  <si>
    <t>Tall Oaks Camp &amp; Conference Center</t>
  </si>
  <si>
    <r>
      <rPr>
        <b/>
        <sz val="20"/>
        <color rgb="FF800080"/>
        <rFont val="Arial"/>
        <family val="2"/>
      </rPr>
      <t xml:space="preserve">By: </t>
    </r>
    <r>
      <rPr>
        <b/>
        <sz val="20"/>
        <color indexed="20"/>
        <rFont val="Arial"/>
        <family val="2"/>
      </rPr>
      <t xml:space="preserve">SD &amp; LL &gt;&gt;  Updated at </t>
    </r>
  </si>
  <si>
    <t>Updated 2022 Revenue &amp; Expense Projection</t>
  </si>
  <si>
    <t xml:space="preserve">Note: </t>
  </si>
  <si>
    <t>Assuming only $20,000 Owner Subsidy being booked for 2022</t>
  </si>
  <si>
    <t>This Projection is based on YTD Actual Rev &amp; Exp AND Reservation Data as well as the Best Estimate</t>
  </si>
  <si>
    <r>
      <rPr>
        <b/>
        <sz val="16"/>
        <color indexed="20"/>
        <rFont val="Arial"/>
        <family val="2"/>
      </rPr>
      <t>By</t>
    </r>
    <r>
      <rPr>
        <b/>
        <sz val="18"/>
        <color indexed="20"/>
        <rFont val="Arial"/>
        <family val="2"/>
      </rPr>
      <t xml:space="preserve">:  SD Updated at </t>
    </r>
  </si>
  <si>
    <t>Reviewed by LL @ 06/23/2022</t>
  </si>
  <si>
    <t>Actual</t>
  </si>
  <si>
    <t xml:space="preserve">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</si>
</sst>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mmmm\-yy"/>
    <numFmt numFmtId="166" formatCode="m/d/yy;@"/>
    <numFmt numFmtId="167" formatCode="0_);\(0\)"/>
    <numFmt numFmtId="168" formatCode=";;;"/>
    <numFmt numFmtId="169" formatCode="&quot;$&quot;#,##0"/>
    <numFmt numFmtId="170" formatCode="_(&quot;$&quot;* #,##0_);_(&quot;$&quot;* \(#,##0\);_(&quot;$&quot;* &quot;-&quot;??_);_(@_)"/>
    <numFmt numFmtId="171" formatCode="_(* #,##0_);_(* \(#,##0\);_(* &quot;-&quot;??_);_(@_)"/>
    <numFmt numFmtId="172" formatCode="0.0%"/>
    <numFmt numFmtId="173" formatCode="0\ "/>
    <numFmt numFmtId="174" formatCode="* #,##0.00\ ;* \(#,##0.00\);* \-#\ ;@\ "/>
    <numFmt numFmtId="175" formatCode="&quot; $&quot;* #,##0.00\ ;&quot; $&quot;* \(#,##0.00\);&quot; $&quot;* \-#\ ;@\ "/>
    <numFmt numFmtId="176" formatCode="[$$-409]#,##0_);\([$$-409]#,##0\)"/>
    <numFmt numFmtId="177" formatCode="0.00_)"/>
    <numFmt numFmtId="178" formatCode="#,##0\ ;\(#,##0\)"/>
    <numFmt numFmtId="179" formatCode="* #,##0\ ;* \(#,##0\);* \-#\ ;@\ "/>
    <numFmt numFmtId="180" formatCode="[$$-409]#,##0.00_);\([$$-409]#,##0.00\)"/>
  </numFmts>
  <fonts count="174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u/>
      <sz val="20"/>
      <color rgb="FF3399FF"/>
      <name val="Arial"/>
      <family val="2"/>
    </font>
    <font>
      <b/>
      <sz val="26"/>
      <color indexed="8"/>
      <name val="Arial"/>
      <family val="2"/>
    </font>
    <font>
      <b/>
      <sz val="20"/>
      <name val="Arial"/>
      <family val="2"/>
    </font>
    <font>
      <b/>
      <sz val="20"/>
      <color indexed="19"/>
      <name val="Arial"/>
      <family val="2"/>
    </font>
    <font>
      <b/>
      <u/>
      <sz val="24"/>
      <color rgb="FF0000FF"/>
      <name val="Arial"/>
      <family val="2"/>
    </font>
    <font>
      <b/>
      <sz val="24"/>
      <color indexed="8"/>
      <name val="Arial"/>
      <family val="2"/>
    </font>
    <font>
      <b/>
      <u/>
      <sz val="20"/>
      <color indexed="48"/>
      <name val="Arial"/>
      <family val="2"/>
    </font>
    <font>
      <b/>
      <sz val="20"/>
      <color indexed="48"/>
      <name val="Arial"/>
      <family val="2"/>
    </font>
    <font>
      <b/>
      <sz val="20"/>
      <color indexed="8"/>
      <name val="Arial"/>
      <family val="2"/>
    </font>
    <font>
      <b/>
      <sz val="20"/>
      <color rgb="FF333399"/>
      <name val="Arial"/>
      <family val="2"/>
    </font>
    <font>
      <b/>
      <sz val="20"/>
      <color indexed="17"/>
      <name val="Arial"/>
      <family val="2"/>
    </font>
    <font>
      <b/>
      <sz val="20"/>
      <color rgb="FF3399FF"/>
      <name val="Arial"/>
      <family val="2"/>
    </font>
    <font>
      <b/>
      <sz val="20"/>
      <color indexed="20"/>
      <name val="Arial"/>
      <family val="2"/>
    </font>
    <font>
      <b/>
      <sz val="22"/>
      <color rgb="FF0000FF"/>
      <name val="Arial"/>
      <family val="2"/>
    </font>
    <font>
      <b/>
      <sz val="22"/>
      <color rgb="FFFF0000"/>
      <name val="Arial"/>
      <family val="2"/>
    </font>
    <font>
      <b/>
      <sz val="16"/>
      <color indexed="18"/>
      <name val="Arial"/>
      <family val="2"/>
    </font>
    <font>
      <b/>
      <sz val="20"/>
      <color rgb="FFFF00FF"/>
      <name val="Arial"/>
      <family val="2"/>
    </font>
    <font>
      <b/>
      <sz val="24"/>
      <color indexed="18"/>
      <name val="Arial"/>
      <family val="2"/>
    </font>
    <font>
      <b/>
      <sz val="20"/>
      <color rgb="FF00B050"/>
      <name val="Arial"/>
      <family val="2"/>
    </font>
    <font>
      <b/>
      <sz val="24"/>
      <color rgb="FF00B050"/>
      <name val="ArbatDi"/>
      <family val="4"/>
    </font>
    <font>
      <b/>
      <sz val="16"/>
      <color indexed="48"/>
      <name val="Arial"/>
      <family val="2"/>
    </font>
    <font>
      <b/>
      <sz val="20"/>
      <color indexed="62"/>
      <name val="Arial"/>
      <family val="2"/>
    </font>
    <font>
      <b/>
      <sz val="20"/>
      <color rgb="FF800080"/>
      <name val="Arial"/>
      <family val="2"/>
    </font>
    <font>
      <b/>
      <sz val="24"/>
      <color indexed="48"/>
      <name val="Arial"/>
      <family val="2"/>
    </font>
    <font>
      <b/>
      <sz val="20"/>
      <color rgb="FF008000"/>
      <name val="Arial"/>
      <family val="2"/>
    </font>
    <font>
      <b/>
      <u/>
      <sz val="20"/>
      <color indexed="8"/>
      <name val="Arial"/>
      <family val="2"/>
    </font>
    <font>
      <b/>
      <sz val="20"/>
      <color rgb="FF3366FF"/>
      <name val="Arial"/>
      <family val="2"/>
    </font>
    <font>
      <b/>
      <sz val="20"/>
      <color indexed="12"/>
      <name val="Arial"/>
      <family val="2"/>
    </font>
    <font>
      <sz val="10"/>
      <name val="Arial"/>
      <family val="2"/>
    </font>
    <font>
      <b/>
      <sz val="18"/>
      <color indexed="40"/>
      <name val="Arial"/>
      <family val="2"/>
    </font>
    <font>
      <b/>
      <sz val="18"/>
      <color rgb="FF3399FF"/>
      <name val="Arial"/>
      <family val="2"/>
    </font>
    <font>
      <b/>
      <sz val="18"/>
      <color indexed="8"/>
      <name val="Arial"/>
      <family val="2"/>
    </font>
    <font>
      <b/>
      <sz val="16"/>
      <color indexed="44"/>
      <name val="Arial"/>
      <family val="2"/>
    </font>
    <font>
      <b/>
      <sz val="16"/>
      <color rgb="FF7030A0"/>
      <name val="Arial"/>
      <family val="2"/>
    </font>
    <font>
      <b/>
      <sz val="16"/>
      <color indexed="20"/>
      <name val="Arial"/>
      <family val="2"/>
    </font>
    <font>
      <sz val="20"/>
      <color indexed="20"/>
      <name val="Arial"/>
      <family val="2"/>
    </font>
    <font>
      <b/>
      <sz val="20"/>
      <color indexed="18"/>
      <name val="Arial"/>
      <family val="2"/>
    </font>
    <font>
      <b/>
      <u/>
      <sz val="16"/>
      <color indexed="8"/>
      <name val="Arial"/>
      <family val="2"/>
    </font>
    <font>
      <b/>
      <sz val="16"/>
      <name val="Arial"/>
      <family val="2"/>
    </font>
    <font>
      <b/>
      <sz val="20"/>
      <color indexed="14"/>
      <name val="Arial"/>
      <family val="2"/>
    </font>
    <font>
      <b/>
      <sz val="16"/>
      <color indexed="8"/>
      <name val="Arial"/>
      <family val="2"/>
    </font>
    <font>
      <b/>
      <sz val="14"/>
      <color indexed="14"/>
      <name val="Arial"/>
      <family val="2"/>
    </font>
    <font>
      <b/>
      <sz val="20"/>
      <color indexed="16"/>
      <name val="Arial"/>
      <family val="2"/>
    </font>
    <font>
      <b/>
      <i/>
      <sz val="20"/>
      <color indexed="16"/>
      <name val="Arial"/>
      <family val="2"/>
    </font>
    <font>
      <b/>
      <sz val="18"/>
      <color indexed="16"/>
      <name val="Arial"/>
      <family val="2"/>
    </font>
    <font>
      <b/>
      <sz val="20"/>
      <color indexed="5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24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Arial"/>
      <family val="2"/>
      <charset val="1"/>
    </font>
    <font>
      <b/>
      <sz val="22"/>
      <color indexed="20"/>
      <name val="Arial"/>
      <family val="2"/>
    </font>
    <font>
      <b/>
      <u/>
      <sz val="20"/>
      <color indexed="12"/>
      <name val="Arial"/>
      <family val="2"/>
    </font>
    <font>
      <b/>
      <sz val="20"/>
      <color theme="1"/>
      <name val="Arial"/>
      <family val="2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b/>
      <sz val="20"/>
      <color rgb="FF006600"/>
      <name val="Arial"/>
      <family val="2"/>
    </font>
    <font>
      <b/>
      <sz val="24"/>
      <color theme="1"/>
      <name val="Arial"/>
      <family val="2"/>
    </font>
    <font>
      <b/>
      <sz val="24"/>
      <color rgb="FF0000FF"/>
      <name val="Arial"/>
      <family val="2"/>
    </font>
    <font>
      <sz val="14"/>
      <color indexed="8"/>
      <name val="Arial"/>
      <family val="2"/>
    </font>
    <font>
      <b/>
      <sz val="16"/>
      <color rgb="FF3333FF"/>
      <name val="Arial"/>
      <family val="2"/>
    </font>
    <font>
      <b/>
      <sz val="18"/>
      <color rgb="FF3333FF"/>
      <name val="Arial"/>
      <family val="2"/>
    </font>
    <font>
      <b/>
      <sz val="16"/>
      <color rgb="FF6600CC"/>
      <name val="Tahoma"/>
      <family val="2"/>
    </font>
    <font>
      <b/>
      <sz val="17"/>
      <color rgb="FF6600CC"/>
      <name val="Tahoma"/>
      <family val="2"/>
    </font>
    <font>
      <b/>
      <sz val="16"/>
      <color indexed="14"/>
      <name val="Arial"/>
      <family val="2"/>
    </font>
    <font>
      <b/>
      <sz val="20"/>
      <color rgb="FF9900CC"/>
      <name val="Tahoma"/>
      <family val="2"/>
    </font>
    <font>
      <b/>
      <sz val="16"/>
      <color rgb="FF6600FF"/>
      <name val="Tahoma"/>
      <family val="2"/>
    </font>
    <font>
      <b/>
      <sz val="16"/>
      <color theme="1"/>
      <name val="Arial"/>
      <family val="2"/>
    </font>
    <font>
      <b/>
      <sz val="22"/>
      <color rgb="FFCC3300"/>
      <name val="Arial"/>
      <family val="2"/>
    </font>
    <font>
      <b/>
      <sz val="20"/>
      <color rgb="FFCC3300"/>
      <name val="Arial"/>
      <family val="2"/>
    </font>
    <font>
      <b/>
      <sz val="21"/>
      <color rgb="FFCC3300"/>
      <name val="Arial"/>
      <family val="2"/>
    </font>
    <font>
      <b/>
      <sz val="20"/>
      <color rgb="FFC00000"/>
      <name val="Arial"/>
      <family val="2"/>
    </font>
    <font>
      <sz val="16"/>
      <color indexed="8"/>
      <name val="Arial"/>
      <family val="2"/>
    </font>
    <font>
      <b/>
      <sz val="12"/>
      <color theme="1"/>
      <name val="Arial"/>
      <family val="2"/>
    </font>
    <font>
      <b/>
      <sz val="22"/>
      <color indexed="8"/>
      <name val="Arial"/>
      <family val="2"/>
    </font>
    <font>
      <b/>
      <sz val="20"/>
      <color rgb="FF3333FF"/>
      <name val="Arial"/>
      <family val="2"/>
    </font>
    <font>
      <b/>
      <strike/>
      <sz val="16"/>
      <color rgb="FF6600CC"/>
      <name val="Tahoma"/>
      <family val="2"/>
    </font>
    <font>
      <b/>
      <sz val="26"/>
      <color theme="9" tint="-0.499984740745262"/>
      <name val="Arial"/>
      <family val="2"/>
    </font>
    <font>
      <b/>
      <u/>
      <sz val="20"/>
      <color rgb="FF3333FF"/>
      <name val="Arial"/>
      <family val="2"/>
    </font>
    <font>
      <b/>
      <sz val="20"/>
      <color theme="3" tint="-0.499984740745262"/>
      <name val="Arial"/>
      <family val="2"/>
    </font>
    <font>
      <b/>
      <sz val="18"/>
      <color theme="1"/>
      <name val="Arial"/>
      <family val="2"/>
    </font>
    <font>
      <b/>
      <sz val="20"/>
      <color rgb="FF0066FF"/>
      <name val="Arial"/>
      <family val="2"/>
    </font>
    <font>
      <b/>
      <sz val="16"/>
      <color rgb="FF006600"/>
      <name val="Arial"/>
      <family val="2"/>
    </font>
    <font>
      <b/>
      <sz val="17"/>
      <name val="Arial"/>
      <family val="2"/>
    </font>
    <font>
      <i/>
      <sz val="20"/>
      <color rgb="FFFF0000"/>
      <name val="Arial"/>
      <family val="2"/>
    </font>
    <font>
      <b/>
      <sz val="16"/>
      <color rgb="FF9900CC"/>
      <name val="Tahoma"/>
      <family val="2"/>
    </font>
    <font>
      <b/>
      <sz val="12"/>
      <color rgb="FF6600CC"/>
      <name val="Tahoma"/>
      <family val="2"/>
    </font>
    <font>
      <b/>
      <sz val="14"/>
      <color rgb="FFC00000"/>
      <name val="Arial"/>
      <family val="2"/>
    </font>
    <font>
      <b/>
      <sz val="20"/>
      <color rgb="FF990033"/>
      <name val="Arial"/>
      <family val="2"/>
    </font>
    <font>
      <i/>
      <sz val="20"/>
      <name val="Arial"/>
      <family val="2"/>
    </font>
    <font>
      <b/>
      <sz val="20"/>
      <color rgb="FFFF0000"/>
      <name val="Arial"/>
      <family val="2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C00000"/>
      <name val="Arial"/>
      <family val="2"/>
    </font>
    <font>
      <b/>
      <sz val="22"/>
      <color rgb="FF008000"/>
      <name val="Arial"/>
      <family val="2"/>
    </font>
    <font>
      <b/>
      <sz val="18"/>
      <color rgb="FFC00000"/>
      <name val="Arial"/>
      <family val="2"/>
    </font>
    <font>
      <b/>
      <sz val="22"/>
      <color theme="3" tint="-0.249977111117893"/>
      <name val="Arial"/>
      <family val="2"/>
    </font>
    <font>
      <b/>
      <sz val="20"/>
      <color rgb="FF990000"/>
      <name val="Arial"/>
      <family val="2"/>
    </font>
    <font>
      <sz val="18"/>
      <color indexed="20"/>
      <name val="Arial"/>
      <family val="2"/>
    </font>
    <font>
      <sz val="16"/>
      <color indexed="20"/>
      <name val="Arial"/>
      <family val="2"/>
    </font>
    <font>
      <sz val="24"/>
      <name val="Arial"/>
      <family val="2"/>
    </font>
    <font>
      <b/>
      <i/>
      <sz val="24"/>
      <color rgb="FFFF0000"/>
      <name val="Arial"/>
      <family val="2"/>
    </font>
    <font>
      <b/>
      <i/>
      <sz val="20"/>
      <color rgb="FFFF0000"/>
      <name val="Arial"/>
      <family val="2"/>
    </font>
    <font>
      <b/>
      <i/>
      <sz val="24"/>
      <color rgb="FFFF0000"/>
      <name val="Helv"/>
    </font>
    <font>
      <b/>
      <strike/>
      <sz val="16"/>
      <color rgb="FF3333FF"/>
      <name val="Arial"/>
      <family val="2"/>
    </font>
    <font>
      <b/>
      <strike/>
      <sz val="16"/>
      <color rgb="FF0000FF"/>
      <name val="Arial"/>
      <family val="2"/>
    </font>
    <font>
      <b/>
      <strike/>
      <sz val="18"/>
      <color rgb="FF3333FF"/>
      <name val="Arial"/>
      <family val="2"/>
    </font>
    <font>
      <b/>
      <sz val="36"/>
      <color rgb="FF0000CC"/>
      <name val="Calibri"/>
      <family val="2"/>
      <scheme val="minor"/>
    </font>
    <font>
      <b/>
      <u/>
      <sz val="36"/>
      <color rgb="FF0000CC"/>
      <name val="Arial"/>
      <family val="2"/>
    </font>
    <font>
      <b/>
      <sz val="28"/>
      <color indexed="8"/>
      <name val="Arial"/>
      <family val="2"/>
    </font>
    <font>
      <i/>
      <sz val="16"/>
      <color theme="1"/>
      <name val="Arial"/>
      <family val="2"/>
    </font>
    <font>
      <sz val="16"/>
      <name val="Arial"/>
      <family val="2"/>
    </font>
    <font>
      <b/>
      <sz val="18"/>
      <color rgb="FF0000CC"/>
      <name val="Arial"/>
      <family val="2"/>
    </font>
    <font>
      <sz val="18"/>
      <color rgb="FF000000"/>
      <name val="Arial"/>
      <family val="2"/>
    </font>
    <font>
      <b/>
      <strike/>
      <sz val="36"/>
      <color rgb="FF0000CC"/>
      <name val="Calibri"/>
      <family val="2"/>
      <scheme val="minor"/>
    </font>
    <font>
      <sz val="36"/>
      <color rgb="FFC00000"/>
      <name val="Calibri"/>
      <family val="2"/>
      <scheme val="minor"/>
    </font>
    <font>
      <b/>
      <sz val="20"/>
      <color rgb="FF000000"/>
      <name val="Arial"/>
      <family val="2"/>
    </font>
    <font>
      <b/>
      <sz val="36"/>
      <color indexed="8"/>
      <name val="Arial"/>
      <family val="2"/>
    </font>
    <font>
      <b/>
      <i/>
      <sz val="22"/>
      <color rgb="FFFF0000"/>
      <name val="Arial"/>
      <family val="2"/>
    </font>
    <font>
      <b/>
      <sz val="18"/>
      <color indexed="20"/>
      <name val="Arial"/>
      <family val="2"/>
    </font>
    <font>
      <sz val="10"/>
      <name val="Arial"/>
      <family val="2"/>
      <charset val="1"/>
    </font>
    <font>
      <b/>
      <sz val="26"/>
      <color indexed="48"/>
      <name val="Arial"/>
      <family val="2"/>
    </font>
    <font>
      <b/>
      <sz val="22"/>
      <color indexed="12"/>
      <name val="Arial"/>
      <family val="2"/>
    </font>
    <font>
      <i/>
      <sz val="20"/>
      <color rgb="FF000000"/>
      <name val="Arial"/>
      <family val="2"/>
    </font>
    <font>
      <b/>
      <sz val="20"/>
      <color indexed="21"/>
      <name val="Arial"/>
      <family val="2"/>
    </font>
    <font>
      <sz val="20"/>
      <color theme="1"/>
      <name val="Arial"/>
      <family val="2"/>
    </font>
    <font>
      <sz val="20"/>
      <color indexed="8"/>
      <name val="Arial"/>
      <family val="2"/>
    </font>
    <font>
      <b/>
      <sz val="18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20"/>
      <color rgb="FF0000CC"/>
      <name val="Arial"/>
      <family val="2"/>
    </font>
    <font>
      <b/>
      <sz val="28"/>
      <color rgb="FF006600"/>
      <name val="Arial"/>
      <family val="2"/>
    </font>
    <font>
      <b/>
      <sz val="26"/>
      <color rgb="FF0000CC"/>
      <name val="Arial"/>
      <family val="2"/>
    </font>
    <font>
      <b/>
      <sz val="24"/>
      <color rgb="FF0000CC"/>
      <name val="Arial"/>
      <family val="2"/>
    </font>
    <font>
      <b/>
      <sz val="22"/>
      <name val="Arial"/>
      <family val="2"/>
    </font>
    <font>
      <b/>
      <sz val="22"/>
      <color indexed="53"/>
      <name val="Arial"/>
      <family val="2"/>
    </font>
    <font>
      <b/>
      <sz val="26"/>
      <name val="Arial"/>
      <family val="2"/>
    </font>
    <font>
      <b/>
      <sz val="22"/>
      <color rgb="FF0000CC"/>
      <name val="Arial"/>
      <family val="2"/>
    </font>
    <font>
      <b/>
      <sz val="22"/>
      <color indexed="17"/>
      <name val="Arial"/>
      <family val="2"/>
    </font>
    <font>
      <b/>
      <sz val="20"/>
      <color indexed="81"/>
      <name val="Calibri"/>
      <family val="2"/>
      <scheme val="minor"/>
    </font>
    <font>
      <b/>
      <i/>
      <sz val="20"/>
      <color indexed="53"/>
      <name val="Arial"/>
      <family val="2"/>
    </font>
    <font>
      <i/>
      <sz val="18"/>
      <color indexed="8"/>
      <name val="Arial"/>
      <family val="2"/>
    </font>
    <font>
      <sz val="8"/>
      <name val="Helv"/>
    </font>
    <font>
      <b/>
      <sz val="12"/>
      <color rgb="FF3333FF"/>
      <name val="Arial"/>
      <family val="2"/>
    </font>
    <font>
      <b/>
      <sz val="18"/>
      <color rgb="FF0000CC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rgb="FF969696"/>
      </top>
      <bottom/>
      <diagonal/>
    </border>
    <border>
      <left/>
      <right/>
      <top style="dotted">
        <color rgb="FFC0C0C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88">
    <xf numFmtId="164" fontId="0" fillId="0" borderId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" fillId="0" borderId="0"/>
    <xf numFmtId="0" fontId="58" fillId="0" borderId="0"/>
    <xf numFmtId="0" fontId="5" fillId="0" borderId="0"/>
    <xf numFmtId="0" fontId="60" fillId="0" borderId="0">
      <alignment vertical="top"/>
    </xf>
    <xf numFmtId="173" fontId="61" fillId="0" borderId="0"/>
    <xf numFmtId="174" fontId="61" fillId="0" borderId="0" applyFill="0" applyBorder="0" applyAlignment="0" applyProtection="0"/>
    <xf numFmtId="175" fontId="61" fillId="0" borderId="0" applyFill="0" applyBorder="0" applyAlignment="0" applyProtection="0"/>
    <xf numFmtId="9" fontId="61" fillId="0" borderId="0" applyFill="0" applyBorder="0" applyAlignment="0" applyProtection="0"/>
    <xf numFmtId="0" fontId="4" fillId="0" borderId="0"/>
    <xf numFmtId="174" fontId="62" fillId="0" borderId="0" applyFill="0" applyBorder="0" applyAlignment="0" applyProtection="0"/>
    <xf numFmtId="175" fontId="62" fillId="0" borderId="0" applyFill="0" applyBorder="0" applyAlignment="0" applyProtection="0"/>
    <xf numFmtId="0" fontId="36" fillId="0" borderId="0"/>
    <xf numFmtId="9" fontId="62" fillId="0" borderId="0" applyFill="0" applyBorder="0" applyAlignment="0" applyProtection="0"/>
    <xf numFmtId="0" fontId="4" fillId="0" borderId="0"/>
    <xf numFmtId="43" fontId="3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32" fillId="0" borderId="0"/>
    <xf numFmtId="0" fontId="140" fillId="0" borderId="0"/>
    <xf numFmtId="0" fontId="140" fillId="0" borderId="0"/>
    <xf numFmtId="0" fontId="150" fillId="0" borderId="0"/>
    <xf numFmtId="0" fontId="1" fillId="0" borderId="0"/>
  </cellStyleXfs>
  <cellXfs count="797">
    <xf numFmtId="164" fontId="0" fillId="0" borderId="0" xfId="0"/>
    <xf numFmtId="164" fontId="8" fillId="2" borderId="1" xfId="0" applyFont="1" applyFill="1" applyBorder="1" applyAlignment="1" applyProtection="1">
      <alignment horizontal="left"/>
    </xf>
    <xf numFmtId="165" fontId="9" fillId="2" borderId="2" xfId="0" applyNumberFormat="1" applyFont="1" applyFill="1" applyBorder="1" applyAlignment="1" applyProtection="1"/>
    <xf numFmtId="165" fontId="9" fillId="0" borderId="0" xfId="0" applyNumberFormat="1" applyFont="1" applyAlignment="1" applyProtection="1"/>
    <xf numFmtId="37" fontId="10" fillId="0" borderId="0" xfId="0" applyNumberFormat="1" applyFont="1" applyProtection="1"/>
    <xf numFmtId="164" fontId="10" fillId="0" borderId="0" xfId="0" applyFont="1" applyProtection="1"/>
    <xf numFmtId="166" fontId="11" fillId="2" borderId="0" xfId="0" applyNumberFormat="1" applyFont="1" applyFill="1" applyBorder="1" applyAlignment="1" applyProtection="1">
      <alignment horizontal="center"/>
    </xf>
    <xf numFmtId="166" fontId="11" fillId="3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Alignment="1" applyProtection="1"/>
    <xf numFmtId="164" fontId="14" fillId="4" borderId="0" xfId="0" applyFont="1" applyFill="1" applyBorder="1" applyAlignment="1" applyProtection="1">
      <alignment horizontal="left"/>
    </xf>
    <xf numFmtId="164" fontId="15" fillId="4" borderId="0" xfId="0" applyFont="1" applyFill="1" applyBorder="1" applyAlignment="1" applyProtection="1">
      <alignment horizontal="left"/>
    </xf>
    <xf numFmtId="165" fontId="16" fillId="0" borderId="0" xfId="0" applyNumberFormat="1" applyFont="1" applyAlignment="1" applyProtection="1">
      <alignment horizontal="center"/>
      <protection locked="0"/>
    </xf>
    <xf numFmtId="164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37" fontId="18" fillId="0" borderId="3" xfId="0" applyNumberFormat="1" applyFont="1" applyFill="1" applyBorder="1" applyAlignment="1" applyProtection="1">
      <alignment horizontal="center" vertical="center"/>
      <protection locked="0"/>
    </xf>
    <xf numFmtId="164" fontId="19" fillId="0" borderId="3" xfId="0" applyNumberFormat="1" applyFont="1" applyFill="1" applyBorder="1" applyAlignment="1" applyProtection="1">
      <alignment horizontal="center" vertical="center"/>
      <protection locked="0"/>
    </xf>
    <xf numFmtId="164" fontId="10" fillId="0" borderId="0" xfId="0" applyFont="1" applyBorder="1" applyProtection="1">
      <protection locked="0"/>
    </xf>
    <xf numFmtId="164" fontId="22" fillId="0" borderId="0" xfId="0" applyFont="1" applyBorder="1" applyProtection="1">
      <protection locked="0"/>
    </xf>
    <xf numFmtId="164" fontId="23" fillId="0" borderId="0" xfId="0" applyNumberFormat="1" applyFont="1" applyFill="1" applyBorder="1" applyAlignment="1" applyProtection="1">
      <alignment horizontal="center"/>
      <protection locked="0"/>
    </xf>
    <xf numFmtId="165" fontId="24" fillId="0" borderId="0" xfId="0" applyNumberFormat="1" applyFont="1" applyAlignment="1" applyProtection="1">
      <alignment horizontal="center"/>
      <protection locked="0"/>
    </xf>
    <xf numFmtId="165" fontId="25" fillId="5" borderId="3" xfId="0" applyNumberFormat="1" applyFont="1" applyFill="1" applyBorder="1" applyAlignment="1" applyProtection="1">
      <alignment horizontal="center"/>
      <protection locked="0"/>
    </xf>
    <xf numFmtId="164" fontId="26" fillId="4" borderId="5" xfId="0" applyFont="1" applyFill="1" applyBorder="1" applyAlignment="1" applyProtection="1">
      <alignment horizontal="left"/>
    </xf>
    <xf numFmtId="14" fontId="27" fillId="4" borderId="0" xfId="0" applyNumberFormat="1" applyFont="1" applyFill="1" applyAlignment="1" applyProtection="1">
      <alignment horizontal="center"/>
    </xf>
    <xf numFmtId="164" fontId="10" fillId="0" borderId="0" xfId="0" applyFont="1" applyProtection="1">
      <protection locked="0"/>
    </xf>
    <xf numFmtId="165" fontId="18" fillId="7" borderId="6" xfId="0" applyNumberFormat="1" applyFont="1" applyFill="1" applyBorder="1" applyAlignment="1" applyProtection="1">
      <alignment horizontal="center"/>
      <protection locked="0"/>
    </xf>
    <xf numFmtId="164" fontId="29" fillId="5" borderId="6" xfId="0" applyFont="1" applyFill="1" applyBorder="1" applyAlignment="1" applyProtection="1">
      <alignment horizontal="center"/>
      <protection locked="0"/>
    </xf>
    <xf numFmtId="164" fontId="16" fillId="0" borderId="0" xfId="0" applyNumberFormat="1" applyFont="1" applyFill="1" applyAlignment="1" applyProtection="1">
      <alignment horizontal="left"/>
      <protection locked="0"/>
    </xf>
    <xf numFmtId="164" fontId="30" fillId="0" borderId="3" xfId="0" applyFont="1" applyFill="1" applyBorder="1" applyAlignment="1" applyProtection="1">
      <alignment horizontal="right"/>
    </xf>
    <xf numFmtId="165" fontId="31" fillId="4" borderId="7" xfId="0" applyNumberFormat="1" applyFont="1" applyFill="1" applyBorder="1" applyAlignment="1" applyProtection="1">
      <alignment horizontal="center"/>
      <protection locked="0"/>
    </xf>
    <xf numFmtId="165" fontId="31" fillId="4" borderId="3" xfId="0" applyNumberFormat="1" applyFont="1" applyFill="1" applyBorder="1" applyAlignment="1" applyProtection="1">
      <alignment horizontal="center"/>
      <protection locked="0"/>
    </xf>
    <xf numFmtId="164" fontId="32" fillId="4" borderId="8" xfId="0" applyFont="1" applyFill="1" applyBorder="1" applyAlignment="1" applyProtection="1">
      <alignment horizontal="center" wrapText="1"/>
    </xf>
    <xf numFmtId="37" fontId="18" fillId="7" borderId="9" xfId="0" applyNumberFormat="1" applyFont="1" applyFill="1" applyBorder="1" applyAlignment="1" applyProtection="1">
      <alignment horizontal="center"/>
      <protection locked="0"/>
    </xf>
    <xf numFmtId="167" fontId="10" fillId="0" borderId="0" xfId="0" applyNumberFormat="1" applyFont="1" applyBorder="1" applyAlignment="1" applyProtection="1">
      <alignment horizontal="right"/>
    </xf>
    <xf numFmtId="37" fontId="10" fillId="0" borderId="0" xfId="0" applyNumberFormat="1" applyFont="1" applyAlignment="1" applyProtection="1">
      <alignment horizontal="right"/>
    </xf>
    <xf numFmtId="164" fontId="29" fillId="5" borderId="9" xfId="0" applyFont="1" applyFill="1" applyBorder="1" applyAlignment="1" applyProtection="1">
      <alignment horizontal="center"/>
      <protection locked="0"/>
    </xf>
    <xf numFmtId="164" fontId="33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Alignment="1" applyProtection="1">
      <alignment horizontal="center" vertical="center" wrapText="1"/>
      <protection locked="0"/>
    </xf>
    <xf numFmtId="164" fontId="10" fillId="0" borderId="0" xfId="0" applyNumberFormat="1" applyFont="1" applyFill="1" applyAlignment="1" applyProtection="1">
      <alignment horizontal="center" vertical="center"/>
      <protection locked="0"/>
    </xf>
    <xf numFmtId="164" fontId="15" fillId="0" borderId="0" xfId="0" applyNumberFormat="1" applyFont="1" applyFill="1" applyAlignment="1" applyProtection="1">
      <alignment horizontal="center" vertical="center"/>
      <protection locked="0"/>
    </xf>
    <xf numFmtId="164" fontId="34" fillId="0" borderId="0" xfId="0" applyNumberFormat="1" applyFont="1" applyFill="1" applyAlignment="1" applyProtection="1">
      <alignment horizontal="center" vertical="center"/>
      <protection locked="0"/>
    </xf>
    <xf numFmtId="164" fontId="16" fillId="0" borderId="3" xfId="0" applyFont="1" applyFill="1" applyBorder="1" applyAlignment="1" applyProtection="1">
      <alignment horizontal="center" wrapText="1"/>
    </xf>
    <xf numFmtId="164" fontId="18" fillId="7" borderId="3" xfId="0" applyFont="1" applyFill="1" applyBorder="1" applyAlignment="1" applyProtection="1">
      <alignment horizontal="center" wrapText="1"/>
    </xf>
    <xf numFmtId="37" fontId="10" fillId="0" borderId="0" xfId="0" applyNumberFormat="1" applyFont="1" applyBorder="1" applyAlignment="1" applyProtection="1">
      <alignment horizontal="center"/>
    </xf>
    <xf numFmtId="37" fontId="10" fillId="0" borderId="10" xfId="0" applyNumberFormat="1" applyFont="1" applyBorder="1" applyAlignment="1" applyProtection="1">
      <alignment horizontal="center" wrapText="1"/>
    </xf>
    <xf numFmtId="164" fontId="29" fillId="5" borderId="3" xfId="0" applyFont="1" applyFill="1" applyBorder="1" applyAlignment="1" applyProtection="1">
      <alignment horizontal="center" wrapText="1"/>
      <protection locked="0"/>
    </xf>
    <xf numFmtId="37" fontId="10" fillId="0" borderId="0" xfId="0" applyNumberFormat="1" applyFont="1" applyProtection="1">
      <protection locked="0"/>
    </xf>
    <xf numFmtId="37" fontId="16" fillId="0" borderId="0" xfId="0" applyNumberFormat="1" applyFont="1" applyFill="1" applyBorder="1" applyAlignment="1" applyProtection="1">
      <alignment horizontal="left"/>
    </xf>
    <xf numFmtId="37" fontId="32" fillId="0" borderId="11" xfId="0" applyNumberFormat="1" applyFont="1" applyFill="1" applyBorder="1" applyProtection="1">
      <protection locked="0"/>
    </xf>
    <xf numFmtId="37" fontId="32" fillId="0" borderId="12" xfId="0" applyNumberFormat="1" applyFont="1" applyFill="1" applyBorder="1" applyProtection="1">
      <protection locked="0"/>
    </xf>
    <xf numFmtId="37" fontId="16" fillId="0" borderId="0" xfId="0" applyNumberFormat="1" applyFont="1" applyFill="1" applyBorder="1" applyProtection="1">
      <protection locked="0"/>
    </xf>
    <xf numFmtId="37" fontId="16" fillId="0" borderId="3" xfId="0" applyNumberFormat="1" applyFont="1" applyFill="1" applyBorder="1" applyProtection="1">
      <protection locked="0"/>
    </xf>
    <xf numFmtId="37" fontId="18" fillId="7" borderId="3" xfId="0" applyNumberFormat="1" applyFont="1" applyFill="1" applyBorder="1" applyProtection="1"/>
    <xf numFmtId="37" fontId="10" fillId="0" borderId="0" xfId="0" applyNumberFormat="1" applyFont="1" applyBorder="1" applyProtection="1">
      <protection locked="0"/>
    </xf>
    <xf numFmtId="37" fontId="29" fillId="5" borderId="3" xfId="0" applyNumberFormat="1" applyFont="1" applyFill="1" applyBorder="1" applyProtection="1">
      <protection locked="0"/>
    </xf>
    <xf numFmtId="37" fontId="18" fillId="7" borderId="13" xfId="0" applyNumberFormat="1" applyFont="1" applyFill="1" applyBorder="1" applyProtection="1"/>
    <xf numFmtId="168" fontId="10" fillId="0" borderId="0" xfId="0" applyNumberFormat="1" applyFont="1" applyFill="1" applyBorder="1" applyProtection="1"/>
    <xf numFmtId="37" fontId="10" fillId="0" borderId="10" xfId="0" applyNumberFormat="1" applyFont="1" applyBorder="1" applyProtection="1">
      <protection locked="0"/>
    </xf>
    <xf numFmtId="164" fontId="16" fillId="0" borderId="0" xfId="0" applyFont="1" applyFill="1" applyBorder="1" applyProtection="1"/>
    <xf numFmtId="168" fontId="10" fillId="0" borderId="0" xfId="0" applyNumberFormat="1" applyFont="1" applyFill="1" applyBorder="1" applyProtection="1">
      <protection locked="0"/>
    </xf>
    <xf numFmtId="168" fontId="16" fillId="0" borderId="0" xfId="0" applyNumberFormat="1" applyFont="1" applyFill="1" applyBorder="1" applyProtection="1">
      <protection locked="0"/>
    </xf>
    <xf numFmtId="39" fontId="16" fillId="0" borderId="0" xfId="0" applyNumberFormat="1" applyFont="1" applyFill="1" applyBorder="1" applyProtection="1">
      <protection locked="0"/>
    </xf>
    <xf numFmtId="168" fontId="18" fillId="0" borderId="0" xfId="0" applyNumberFormat="1" applyFont="1" applyFill="1" applyBorder="1" applyProtection="1">
      <protection locked="0"/>
    </xf>
    <xf numFmtId="168" fontId="29" fillId="0" borderId="0" xfId="0" applyNumberFormat="1" applyFont="1" applyFill="1" applyBorder="1" applyProtection="1">
      <protection locked="0"/>
    </xf>
    <xf numFmtId="37" fontId="16" fillId="0" borderId="0" xfId="0" applyNumberFormat="1" applyFont="1" applyFill="1" applyBorder="1" applyAlignment="1" applyProtection="1">
      <alignment horizontal="right"/>
    </xf>
    <xf numFmtId="5" fontId="10" fillId="0" borderId="14" xfId="0" applyNumberFormat="1" applyFont="1" applyFill="1" applyBorder="1" applyProtection="1"/>
    <xf numFmtId="5" fontId="16" fillId="0" borderId="14" xfId="0" applyNumberFormat="1" applyFont="1" applyFill="1" applyBorder="1" applyProtection="1"/>
    <xf numFmtId="169" fontId="10" fillId="0" borderId="14" xfId="0" applyNumberFormat="1" applyFont="1" applyFill="1" applyBorder="1" applyAlignment="1">
      <alignment horizontal="center"/>
    </xf>
    <xf numFmtId="169" fontId="16" fillId="0" borderId="14" xfId="0" applyNumberFormat="1" applyFont="1" applyFill="1" applyBorder="1" applyAlignment="1">
      <alignment horizontal="center"/>
    </xf>
    <xf numFmtId="6" fontId="10" fillId="0" borderId="14" xfId="0" applyNumberFormat="1" applyFont="1" applyFill="1" applyBorder="1" applyAlignment="1">
      <alignment horizontal="center"/>
    </xf>
    <xf numFmtId="37" fontId="16" fillId="0" borderId="15" xfId="0" applyNumberFormat="1" applyFont="1" applyFill="1" applyBorder="1" applyProtection="1"/>
    <xf numFmtId="5" fontId="16" fillId="0" borderId="0" xfId="0" applyNumberFormat="1" applyFont="1" applyFill="1" applyBorder="1" applyProtection="1">
      <protection locked="0"/>
    </xf>
    <xf numFmtId="5" fontId="10" fillId="7" borderId="14" xfId="0" applyNumberFormat="1" applyFont="1" applyFill="1" applyBorder="1" applyProtection="1"/>
    <xf numFmtId="5" fontId="16" fillId="0" borderId="0" xfId="0" applyNumberFormat="1" applyFont="1" applyFill="1" applyBorder="1" applyProtection="1"/>
    <xf numFmtId="5" fontId="10" fillId="5" borderId="14" xfId="0" applyNumberFormat="1" applyFont="1" applyFill="1" applyBorder="1" applyProtection="1"/>
    <xf numFmtId="37" fontId="37" fillId="8" borderId="0" xfId="1" applyNumberFormat="1" applyFont="1" applyFill="1" applyBorder="1" applyAlignment="1" applyProtection="1">
      <alignment horizontal="right"/>
      <protection locked="0"/>
    </xf>
    <xf numFmtId="170" fontId="38" fillId="6" borderId="0" xfId="2" applyNumberFormat="1" applyFont="1" applyFill="1" applyBorder="1" applyProtection="1">
      <protection locked="0"/>
    </xf>
    <xf numFmtId="168" fontId="39" fillId="0" borderId="0" xfId="0" applyNumberFormat="1" applyFont="1" applyFill="1" applyBorder="1" applyProtection="1">
      <protection locked="0"/>
    </xf>
    <xf numFmtId="170" fontId="37" fillId="8" borderId="0" xfId="2" applyNumberFormat="1" applyFont="1" applyFill="1" applyBorder="1" applyProtection="1">
      <protection locked="0"/>
    </xf>
    <xf numFmtId="164" fontId="16" fillId="0" borderId="0" xfId="0" applyNumberFormat="1" applyFont="1" applyFill="1" applyProtection="1">
      <protection locked="0"/>
    </xf>
    <xf numFmtId="5" fontId="18" fillId="0" borderId="0" xfId="0" applyNumberFormat="1" applyFont="1" applyFill="1" applyBorder="1" applyProtection="1">
      <protection locked="0"/>
    </xf>
    <xf numFmtId="5" fontId="10" fillId="0" borderId="0" xfId="0" applyNumberFormat="1" applyFont="1" applyBorder="1" applyProtection="1">
      <protection locked="0"/>
    </xf>
    <xf numFmtId="5" fontId="29" fillId="0" borderId="0" xfId="0" applyNumberFormat="1" applyFont="1" applyFill="1" applyBorder="1" applyProtection="1">
      <protection locked="0"/>
    </xf>
    <xf numFmtId="37" fontId="28" fillId="4" borderId="0" xfId="1" applyNumberFormat="1" applyFont="1" applyFill="1" applyBorder="1" applyAlignment="1" applyProtection="1">
      <alignment horizontal="right" vertical="top"/>
      <protection locked="0"/>
    </xf>
    <xf numFmtId="170" fontId="28" fillId="4" borderId="0" xfId="2" applyNumberFormat="1" applyFont="1" applyFill="1" applyBorder="1" applyAlignment="1" applyProtection="1">
      <alignment vertical="top"/>
      <protection locked="0"/>
    </xf>
    <xf numFmtId="5" fontId="15" fillId="0" borderId="0" xfId="0" applyNumberFormat="1" applyFont="1" applyFill="1" applyBorder="1" applyAlignment="1" applyProtection="1">
      <alignment vertical="top"/>
      <protection locked="0"/>
    </xf>
    <xf numFmtId="164" fontId="18" fillId="7" borderId="3" xfId="0" applyNumberFormat="1" applyFont="1" applyFill="1" applyBorder="1" applyAlignment="1" applyProtection="1">
      <alignment horizontal="center" wrapText="1"/>
    </xf>
    <xf numFmtId="37" fontId="10" fillId="0" borderId="0" xfId="0" applyNumberFormat="1" applyFont="1" applyBorder="1" applyProtection="1"/>
    <xf numFmtId="164" fontId="16" fillId="0" borderId="0" xfId="0" applyFont="1" applyFill="1" applyBorder="1" applyProtection="1">
      <protection locked="0"/>
    </xf>
    <xf numFmtId="170" fontId="40" fillId="0" borderId="0" xfId="2" applyNumberFormat="1" applyFont="1" applyFill="1" applyBorder="1" applyAlignment="1" applyProtection="1">
      <alignment horizontal="right"/>
      <protection locked="0"/>
    </xf>
    <xf numFmtId="44" fontId="41" fillId="0" borderId="0" xfId="2" applyNumberFormat="1" applyFont="1" applyFill="1" applyBorder="1" applyProtection="1">
      <protection locked="0"/>
    </xf>
    <xf numFmtId="44" fontId="40" fillId="0" borderId="0" xfId="2" applyNumberFormat="1" applyFont="1" applyFill="1" applyBorder="1" applyProtection="1">
      <protection locked="0"/>
    </xf>
    <xf numFmtId="171" fontId="42" fillId="0" borderId="0" xfId="1" applyNumberFormat="1" applyFont="1" applyFill="1" applyBorder="1" applyProtection="1">
      <protection locked="0"/>
    </xf>
    <xf numFmtId="44" fontId="10" fillId="0" borderId="0" xfId="2" applyNumberFormat="1" applyFont="1" applyBorder="1" applyProtection="1">
      <protection locked="0"/>
    </xf>
    <xf numFmtId="7" fontId="10" fillId="0" borderId="3" xfId="0" applyNumberFormat="1" applyFont="1" applyFill="1" applyBorder="1" applyProtection="1"/>
    <xf numFmtId="37" fontId="28" fillId="0" borderId="0" xfId="1" applyNumberFormat="1" applyFont="1" applyFill="1" applyBorder="1" applyProtection="1">
      <protection locked="0"/>
    </xf>
    <xf numFmtId="7" fontId="18" fillId="7" borderId="3" xfId="0" applyNumberFormat="1" applyFont="1" applyFill="1" applyBorder="1" applyProtection="1"/>
    <xf numFmtId="7" fontId="10" fillId="0" borderId="0" xfId="0" applyNumberFormat="1" applyFont="1" applyBorder="1" applyProtection="1"/>
    <xf numFmtId="7" fontId="10" fillId="5" borderId="3" xfId="0" applyNumberFormat="1" applyFont="1" applyFill="1" applyBorder="1" applyProtection="1"/>
    <xf numFmtId="164" fontId="43" fillId="0" borderId="10" xfId="0" applyFont="1" applyFill="1" applyBorder="1" applyAlignment="1" applyProtection="1">
      <protection locked="0"/>
    </xf>
    <xf numFmtId="168" fontId="44" fillId="0" borderId="0" xfId="0" applyNumberFormat="1" applyFont="1" applyFill="1" applyBorder="1" applyProtection="1">
      <protection locked="0"/>
    </xf>
    <xf numFmtId="168" fontId="16" fillId="0" borderId="0" xfId="0" applyNumberFormat="1" applyFont="1" applyFill="1" applyProtection="1">
      <protection locked="0"/>
    </xf>
    <xf numFmtId="164" fontId="16" fillId="0" borderId="0" xfId="0" applyNumberFormat="1" applyFont="1" applyFill="1" applyProtection="1"/>
    <xf numFmtId="167" fontId="16" fillId="0" borderId="0" xfId="0" applyNumberFormat="1" applyFont="1" applyFill="1" applyBorder="1" applyProtection="1">
      <protection locked="0"/>
    </xf>
    <xf numFmtId="164" fontId="18" fillId="0" borderId="0" xfId="0" applyNumberFormat="1" applyFont="1" applyFill="1" applyProtection="1"/>
    <xf numFmtId="37" fontId="10" fillId="0" borderId="0" xfId="0" applyNumberFormat="1" applyFont="1" applyBorder="1" applyAlignment="1" applyProtection="1">
      <alignment horizontal="right" wrapText="1"/>
    </xf>
    <xf numFmtId="164" fontId="29" fillId="0" borderId="0" xfId="0" applyNumberFormat="1" applyFont="1" applyFill="1" applyProtection="1"/>
    <xf numFmtId="167" fontId="10" fillId="0" borderId="0" xfId="0" applyNumberFormat="1" applyFont="1" applyProtection="1">
      <protection locked="0"/>
    </xf>
    <xf numFmtId="167" fontId="33" fillId="0" borderId="3" xfId="0" applyNumberFormat="1" applyFont="1" applyFill="1" applyBorder="1" applyAlignment="1" applyProtection="1">
      <alignment horizontal="right"/>
    </xf>
    <xf numFmtId="37" fontId="34" fillId="0" borderId="11" xfId="0" applyNumberFormat="1" applyFont="1" applyFill="1" applyBorder="1" applyProtection="1">
      <protection locked="0"/>
    </xf>
    <xf numFmtId="167" fontId="10" fillId="0" borderId="0" xfId="0" applyNumberFormat="1" applyFont="1" applyBorder="1" applyProtection="1"/>
    <xf numFmtId="171" fontId="10" fillId="0" borderId="3" xfId="1" applyNumberFormat="1" applyFont="1" applyBorder="1" applyProtection="1"/>
    <xf numFmtId="171" fontId="29" fillId="5" borderId="3" xfId="1" applyNumberFormat="1" applyFont="1" applyFill="1" applyBorder="1" applyProtection="1"/>
    <xf numFmtId="167" fontId="33" fillId="0" borderId="0" xfId="0" applyNumberFormat="1" applyFont="1" applyFill="1" applyBorder="1" applyAlignment="1" applyProtection="1">
      <alignment horizontal="left"/>
    </xf>
    <xf numFmtId="171" fontId="37" fillId="8" borderId="0" xfId="1" applyNumberFormat="1" applyFont="1" applyFill="1" applyBorder="1" applyAlignment="1" applyProtection="1">
      <alignment horizontal="right"/>
      <protection locked="0"/>
    </xf>
    <xf numFmtId="171" fontId="38" fillId="6" borderId="0" xfId="1" applyNumberFormat="1" applyFont="1" applyFill="1" applyBorder="1" applyProtection="1">
      <protection locked="0"/>
    </xf>
    <xf numFmtId="168" fontId="37" fillId="0" borderId="0" xfId="0" applyNumberFormat="1" applyFont="1" applyFill="1" applyBorder="1" applyProtection="1">
      <protection locked="0"/>
    </xf>
    <xf numFmtId="37" fontId="37" fillId="8" borderId="0" xfId="2" applyNumberFormat="1" applyFont="1" applyFill="1" applyBorder="1" applyProtection="1">
      <protection locked="0"/>
    </xf>
    <xf numFmtId="164" fontId="16" fillId="0" borderId="0" xfId="0" applyFont="1" applyFill="1" applyBorder="1" applyAlignment="1" applyProtection="1">
      <alignment horizontal="right"/>
      <protection locked="0"/>
    </xf>
    <xf numFmtId="167" fontId="18" fillId="0" borderId="0" xfId="0" applyNumberFormat="1" applyFont="1" applyFill="1" applyBorder="1" applyProtection="1">
      <protection locked="0"/>
    </xf>
    <xf numFmtId="167" fontId="10" fillId="0" borderId="0" xfId="0" applyNumberFormat="1" applyFont="1" applyBorder="1" applyProtection="1">
      <protection locked="0"/>
    </xf>
    <xf numFmtId="172" fontId="45" fillId="0" borderId="0" xfId="0" applyNumberFormat="1" applyFont="1" applyFill="1" applyBorder="1" applyAlignment="1" applyProtection="1">
      <alignment horizontal="left"/>
    </xf>
    <xf numFmtId="37" fontId="46" fillId="0" borderId="16" xfId="1" applyNumberFormat="1" applyFont="1" applyFill="1" applyBorder="1" applyAlignment="1" applyProtection="1">
      <alignment wrapText="1"/>
      <protection locked="0"/>
    </xf>
    <xf numFmtId="164" fontId="16" fillId="0" borderId="10" xfId="0" applyFont="1" applyFill="1" applyBorder="1" applyProtection="1"/>
    <xf numFmtId="165" fontId="47" fillId="0" borderId="0" xfId="0" applyNumberFormat="1" applyFont="1" applyFill="1" applyBorder="1" applyAlignment="1" applyProtection="1">
      <alignment horizontal="right"/>
      <protection locked="0"/>
    </xf>
    <xf numFmtId="164" fontId="16" fillId="0" borderId="17" xfId="0" applyFont="1" applyFill="1" applyBorder="1" applyAlignment="1" applyProtection="1">
      <alignment horizontal="center" wrapText="1"/>
    </xf>
    <xf numFmtId="172" fontId="48" fillId="0" borderId="0" xfId="0" applyNumberFormat="1" applyFont="1" applyFill="1" applyBorder="1" applyProtection="1"/>
    <xf numFmtId="37" fontId="10" fillId="0" borderId="0" xfId="0" applyNumberFormat="1" applyFont="1" applyBorder="1" applyAlignment="1" applyProtection="1">
      <alignment horizontal="right"/>
    </xf>
    <xf numFmtId="164" fontId="29" fillId="9" borderId="3" xfId="0" applyFont="1" applyFill="1" applyBorder="1" applyAlignment="1" applyProtection="1">
      <alignment horizontal="center" wrapText="1"/>
    </xf>
    <xf numFmtId="172" fontId="46" fillId="0" borderId="0" xfId="0" applyNumberFormat="1" applyFont="1" applyProtection="1"/>
    <xf numFmtId="37" fontId="28" fillId="4" borderId="0" xfId="1" applyNumberFormat="1" applyFont="1" applyFill="1" applyBorder="1" applyAlignment="1" applyProtection="1">
      <alignment horizontal="right"/>
      <protection locked="0"/>
    </xf>
    <xf numFmtId="172" fontId="46" fillId="0" borderId="18" xfId="0" applyNumberFormat="1" applyFont="1" applyFill="1" applyBorder="1" applyProtection="1"/>
    <xf numFmtId="172" fontId="48" fillId="0" borderId="18" xfId="0" applyNumberFormat="1" applyFont="1" applyFill="1" applyBorder="1" applyProtection="1"/>
    <xf numFmtId="10" fontId="42" fillId="0" borderId="17" xfId="0" applyNumberFormat="1" applyFont="1" applyFill="1" applyBorder="1" applyProtection="1"/>
    <xf numFmtId="37" fontId="16" fillId="0" borderId="0" xfId="0" applyNumberFormat="1" applyFont="1" applyFill="1" applyBorder="1" applyProtection="1"/>
    <xf numFmtId="172" fontId="48" fillId="7" borderId="19" xfId="0" applyNumberFormat="1" applyFont="1" applyFill="1" applyBorder="1" applyProtection="1"/>
    <xf numFmtId="37" fontId="46" fillId="0" borderId="0" xfId="0" applyNumberFormat="1" applyFont="1" applyBorder="1" applyProtection="1"/>
    <xf numFmtId="172" fontId="46" fillId="9" borderId="19" xfId="0" applyNumberFormat="1" applyFont="1" applyFill="1" applyBorder="1" applyProtection="1"/>
    <xf numFmtId="37" fontId="20" fillId="0" borderId="20" xfId="0" applyNumberFormat="1" applyFont="1" applyFill="1" applyBorder="1" applyProtection="1"/>
    <xf numFmtId="37" fontId="30" fillId="10" borderId="20" xfId="0" applyNumberFormat="1" applyFont="1" applyFill="1" applyBorder="1" applyProtection="1"/>
    <xf numFmtId="37" fontId="48" fillId="0" borderId="0" xfId="0" applyNumberFormat="1" applyFont="1" applyFill="1" applyBorder="1" applyProtection="1"/>
    <xf numFmtId="37" fontId="16" fillId="0" borderId="13" xfId="0" applyNumberFormat="1" applyFont="1" applyFill="1" applyBorder="1" applyProtection="1">
      <protection locked="0"/>
    </xf>
    <xf numFmtId="37" fontId="17" fillId="5" borderId="13" xfId="0" applyNumberFormat="1" applyFont="1" applyFill="1" applyBorder="1" applyProtection="1"/>
    <xf numFmtId="172" fontId="48" fillId="0" borderId="17" xfId="0" applyNumberFormat="1" applyFont="1" applyFill="1" applyBorder="1" applyProtection="1"/>
    <xf numFmtId="172" fontId="48" fillId="7" borderId="18" xfId="0" applyNumberFormat="1" applyFont="1" applyFill="1" applyBorder="1" applyProtection="1"/>
    <xf numFmtId="5" fontId="49" fillId="0" borderId="0" xfId="0" applyNumberFormat="1" applyFont="1" applyBorder="1" applyProtection="1"/>
    <xf numFmtId="172" fontId="48" fillId="9" borderId="18" xfId="0" applyNumberFormat="1" applyFont="1" applyFill="1" applyBorder="1" applyProtection="1"/>
    <xf numFmtId="37" fontId="32" fillId="0" borderId="13" xfId="0" applyNumberFormat="1" applyFont="1" applyFill="1" applyBorder="1" applyProtection="1">
      <protection locked="0"/>
    </xf>
    <xf numFmtId="37" fontId="29" fillId="5" borderId="13" xfId="0" applyNumberFormat="1" applyFont="1" applyFill="1" applyBorder="1" applyProtection="1"/>
    <xf numFmtId="172" fontId="48" fillId="0" borderId="21" xfId="0" applyNumberFormat="1" applyFont="1" applyFill="1" applyBorder="1" applyProtection="1"/>
    <xf numFmtId="172" fontId="46" fillId="0" borderId="0" xfId="0" applyNumberFormat="1" applyFont="1" applyFill="1" applyBorder="1" applyProtection="1"/>
    <xf numFmtId="37" fontId="10" fillId="0" borderId="0" xfId="0" applyNumberFormat="1" applyFont="1" applyFill="1" applyBorder="1" applyAlignment="1" applyProtection="1">
      <alignment horizontal="left"/>
    </xf>
    <xf numFmtId="37" fontId="30" fillId="0" borderId="13" xfId="0" applyNumberFormat="1" applyFont="1" applyFill="1" applyBorder="1" applyProtection="1"/>
    <xf numFmtId="37" fontId="18" fillId="7" borderId="20" xfId="0" applyNumberFormat="1" applyFont="1" applyFill="1" applyBorder="1" applyProtection="1"/>
    <xf numFmtId="37" fontId="29" fillId="5" borderId="20" xfId="0" applyNumberFormat="1" applyFont="1" applyFill="1" applyBorder="1" applyProtection="1"/>
    <xf numFmtId="37" fontId="46" fillId="0" borderId="0" xfId="0" applyNumberFormat="1" applyFont="1" applyProtection="1"/>
    <xf numFmtId="37" fontId="10" fillId="0" borderId="10" xfId="0" applyNumberFormat="1" applyFont="1" applyBorder="1" applyProtection="1"/>
    <xf numFmtId="37" fontId="10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/>
    <xf numFmtId="37" fontId="29" fillId="0" borderId="0" xfId="0" applyNumberFormat="1" applyFont="1" applyFill="1" applyBorder="1" applyProtection="1"/>
    <xf numFmtId="5" fontId="16" fillId="5" borderId="15" xfId="0" applyNumberFormat="1" applyFont="1" applyFill="1" applyBorder="1" applyProtection="1"/>
    <xf numFmtId="37" fontId="51" fillId="0" borderId="0" xfId="0" applyNumberFormat="1" applyFont="1" applyFill="1" applyBorder="1" applyAlignment="1" applyProtection="1">
      <alignment horizontal="left"/>
    </xf>
    <xf numFmtId="171" fontId="50" fillId="0" borderId="0" xfId="1" applyNumberFormat="1" applyFont="1" applyFill="1" applyBorder="1" applyProtection="1"/>
    <xf numFmtId="171" fontId="52" fillId="0" borderId="0" xfId="1" applyNumberFormat="1" applyFont="1" applyFill="1" applyBorder="1" applyProtection="1">
      <protection locked="0"/>
    </xf>
    <xf numFmtId="164" fontId="18" fillId="0" borderId="0" xfId="0" applyFont="1" applyFill="1" applyBorder="1" applyProtection="1"/>
    <xf numFmtId="164" fontId="29" fillId="0" borderId="0" xfId="0" applyFont="1" applyFill="1" applyBorder="1" applyProtection="1"/>
    <xf numFmtId="37" fontId="16" fillId="0" borderId="14" xfId="0" applyNumberFormat="1" applyFont="1" applyFill="1" applyBorder="1" applyAlignment="1" applyProtection="1">
      <alignment horizontal="right"/>
    </xf>
    <xf numFmtId="5" fontId="10" fillId="0" borderId="15" xfId="0" applyNumberFormat="1" applyFont="1" applyFill="1" applyBorder="1" applyProtection="1"/>
    <xf numFmtId="5" fontId="16" fillId="0" borderId="15" xfId="0" applyNumberFormat="1" applyFont="1" applyFill="1" applyBorder="1" applyProtection="1"/>
    <xf numFmtId="5" fontId="16" fillId="7" borderId="15" xfId="0" applyNumberFormat="1" applyFont="1" applyFill="1" applyBorder="1" applyProtection="1"/>
    <xf numFmtId="5" fontId="10" fillId="5" borderId="15" xfId="0" applyNumberFormat="1" applyFont="1" applyFill="1" applyBorder="1" applyProtection="1"/>
    <xf numFmtId="164" fontId="10" fillId="0" borderId="0" xfId="0" applyFont="1" applyBorder="1" applyProtection="1"/>
    <xf numFmtId="164" fontId="35" fillId="0" borderId="0" xfId="0" applyNumberFormat="1" applyFont="1" applyFill="1" applyBorder="1" applyAlignment="1" applyProtection="1">
      <alignment wrapText="1"/>
      <protection locked="0"/>
    </xf>
    <xf numFmtId="164" fontId="10" fillId="0" borderId="0" xfId="0" applyFont="1" applyFill="1" applyBorder="1" applyAlignment="1" applyProtection="1">
      <alignment wrapText="1"/>
      <protection locked="0"/>
    </xf>
    <xf numFmtId="164" fontId="10" fillId="0" borderId="0" xfId="0" applyFont="1" applyFill="1" applyBorder="1" applyProtection="1">
      <protection locked="0"/>
    </xf>
    <xf numFmtId="164" fontId="10" fillId="0" borderId="0" xfId="0" applyFont="1" applyFill="1" applyBorder="1" applyAlignment="1" applyProtection="1">
      <alignment vertical="top" wrapText="1"/>
    </xf>
    <xf numFmtId="164" fontId="10" fillId="0" borderId="0" xfId="0" applyFont="1" applyFill="1" applyBorder="1" applyAlignment="1" applyProtection="1">
      <alignment horizontal="right"/>
      <protection locked="0"/>
    </xf>
    <xf numFmtId="171" fontId="10" fillId="0" borderId="0" xfId="1" applyNumberFormat="1" applyFont="1" applyFill="1" applyBorder="1" applyAlignment="1" applyProtection="1">
      <alignment wrapText="1"/>
      <protection locked="0"/>
    </xf>
    <xf numFmtId="164" fontId="10" fillId="0" borderId="0" xfId="0" applyFont="1" applyBorder="1" applyAlignment="1" applyProtection="1">
      <alignment wrapText="1"/>
      <protection locked="0"/>
    </xf>
    <xf numFmtId="171" fontId="53" fillId="0" borderId="0" xfId="1" applyNumberFormat="1" applyFont="1" applyBorder="1" applyAlignment="1" applyProtection="1">
      <alignment wrapText="1"/>
      <protection locked="0"/>
    </xf>
    <xf numFmtId="164" fontId="20" fillId="0" borderId="0" xfId="0" applyFont="1" applyFill="1" applyBorder="1" applyAlignment="1" applyProtection="1">
      <alignment horizontal="right"/>
      <protection locked="0"/>
    </xf>
    <xf numFmtId="171" fontId="20" fillId="8" borderId="3" xfId="1" applyNumberFormat="1" applyFont="1" applyFill="1" applyBorder="1" applyAlignment="1" applyProtection="1">
      <alignment wrapText="1"/>
      <protection locked="0"/>
    </xf>
    <xf numFmtId="171" fontId="53" fillId="0" borderId="0" xfId="1" applyNumberFormat="1" applyFont="1" applyFill="1" applyBorder="1" applyAlignment="1" applyProtection="1">
      <protection locked="0"/>
    </xf>
    <xf numFmtId="164" fontId="53" fillId="0" borderId="0" xfId="0" applyFont="1" applyFill="1" applyBorder="1" applyAlignment="1" applyProtection="1">
      <alignment horizontal="right"/>
      <protection locked="0"/>
    </xf>
    <xf numFmtId="164" fontId="10" fillId="0" borderId="0" xfId="0" applyFont="1" applyBorder="1" applyAlignment="1" applyProtection="1">
      <alignment wrapText="1"/>
    </xf>
    <xf numFmtId="37" fontId="10" fillId="0" borderId="11" xfId="0" applyNumberFormat="1" applyFont="1" applyFill="1" applyBorder="1" applyProtection="1">
      <protection locked="0"/>
    </xf>
    <xf numFmtId="37" fontId="10" fillId="0" borderId="13" xfId="0" applyNumberFormat="1" applyFont="1" applyFill="1" applyBorder="1" applyProtection="1">
      <protection locked="0"/>
    </xf>
    <xf numFmtId="165" fontId="31" fillId="11" borderId="7" xfId="0" applyNumberFormat="1" applyFont="1" applyFill="1" applyBorder="1" applyAlignment="1" applyProtection="1">
      <alignment horizontal="center"/>
      <protection locked="0"/>
    </xf>
    <xf numFmtId="3" fontId="19" fillId="0" borderId="3" xfId="0" applyNumberFormat="1" applyFont="1" applyFill="1" applyBorder="1" applyAlignment="1" applyProtection="1">
      <alignment horizontal="right"/>
      <protection locked="0"/>
    </xf>
    <xf numFmtId="164" fontId="10" fillId="11" borderId="0" xfId="0" applyNumberFormat="1" applyFont="1" applyFill="1" applyAlignment="1" applyProtection="1">
      <alignment horizontal="center" vertical="center" wrapText="1"/>
      <protection locked="0"/>
    </xf>
    <xf numFmtId="37" fontId="32" fillId="11" borderId="11" xfId="0" applyNumberFormat="1" applyFont="1" applyFill="1" applyBorder="1" applyProtection="1">
      <protection locked="0"/>
    </xf>
    <xf numFmtId="37" fontId="10" fillId="11" borderId="11" xfId="0" applyNumberFormat="1" applyFont="1" applyFill="1" applyBorder="1" applyProtection="1">
      <protection locked="0"/>
    </xf>
    <xf numFmtId="168" fontId="10" fillId="11" borderId="0" xfId="0" applyNumberFormat="1" applyFont="1" applyFill="1" applyBorder="1" applyProtection="1">
      <protection locked="0"/>
    </xf>
    <xf numFmtId="5" fontId="10" fillId="11" borderId="14" xfId="0" applyNumberFormat="1" applyFont="1" applyFill="1" applyBorder="1" applyProtection="1"/>
    <xf numFmtId="44" fontId="41" fillId="11" borderId="0" xfId="2" applyNumberFormat="1" applyFont="1" applyFill="1" applyBorder="1" applyProtection="1">
      <protection locked="0"/>
    </xf>
    <xf numFmtId="168" fontId="10" fillId="11" borderId="0" xfId="0" applyNumberFormat="1" applyFont="1" applyFill="1" applyProtection="1">
      <protection locked="0"/>
    </xf>
    <xf numFmtId="37" fontId="34" fillId="11" borderId="11" xfId="0" applyNumberFormat="1" applyFont="1" applyFill="1" applyBorder="1" applyProtection="1">
      <protection locked="0"/>
    </xf>
    <xf numFmtId="165" fontId="59" fillId="11" borderId="7" xfId="0" applyNumberFormat="1" applyFont="1" applyFill="1" applyBorder="1" applyAlignment="1" applyProtection="1">
      <alignment horizontal="center"/>
      <protection locked="0"/>
    </xf>
    <xf numFmtId="172" fontId="46" fillId="11" borderId="18" xfId="0" applyNumberFormat="1" applyFont="1" applyFill="1" applyBorder="1" applyProtection="1"/>
    <xf numFmtId="37" fontId="20" fillId="11" borderId="20" xfId="0" applyNumberFormat="1" applyFont="1" applyFill="1" applyBorder="1" applyProtection="1"/>
    <xf numFmtId="172" fontId="48" fillId="11" borderId="17" xfId="0" applyNumberFormat="1" applyFont="1" applyFill="1" applyBorder="1" applyProtection="1"/>
    <xf numFmtId="37" fontId="10" fillId="11" borderId="13" xfId="0" applyNumberFormat="1" applyFont="1" applyFill="1" applyBorder="1" applyProtection="1">
      <protection locked="0"/>
    </xf>
    <xf numFmtId="37" fontId="30" fillId="11" borderId="13" xfId="0" applyNumberFormat="1" applyFont="1" applyFill="1" applyBorder="1" applyProtection="1"/>
    <xf numFmtId="37" fontId="10" fillId="11" borderId="0" xfId="0" applyNumberFormat="1" applyFont="1" applyFill="1" applyBorder="1" applyProtection="1">
      <protection locked="0"/>
    </xf>
    <xf numFmtId="5" fontId="10" fillId="11" borderId="15" xfId="0" applyNumberFormat="1" applyFont="1" applyFill="1" applyBorder="1" applyProtection="1"/>
    <xf numFmtId="164" fontId="35" fillId="11" borderId="0" xfId="0" applyNumberFormat="1" applyFont="1" applyFill="1" applyBorder="1" applyAlignment="1" applyProtection="1">
      <alignment wrapText="1"/>
      <protection locked="0"/>
    </xf>
    <xf numFmtId="164" fontId="10" fillId="11" borderId="0" xfId="0" applyFont="1" applyFill="1" applyBorder="1" applyAlignment="1" applyProtection="1">
      <alignment wrapText="1"/>
      <protection locked="0"/>
    </xf>
    <xf numFmtId="49" fontId="63" fillId="12" borderId="22" xfId="30" applyNumberFormat="1" applyFont="1" applyFill="1" applyBorder="1" applyAlignment="1" applyProtection="1">
      <alignment horizontal="center"/>
      <protection locked="0"/>
    </xf>
    <xf numFmtId="164" fontId="20" fillId="12" borderId="4" xfId="0" applyFont="1" applyFill="1" applyBorder="1" applyProtection="1">
      <protection locked="0"/>
    </xf>
    <xf numFmtId="164" fontId="10" fillId="12" borderId="0" xfId="0" applyFont="1" applyFill="1" applyBorder="1" applyProtection="1">
      <protection locked="0"/>
    </xf>
    <xf numFmtId="165" fontId="16" fillId="12" borderId="0" xfId="0" applyNumberFormat="1" applyFont="1" applyFill="1" applyAlignment="1" applyProtection="1">
      <alignment horizontal="center"/>
    </xf>
    <xf numFmtId="164" fontId="10" fillId="12" borderId="0" xfId="0" applyFont="1" applyFill="1" applyBorder="1" applyAlignment="1" applyProtection="1">
      <protection locked="0"/>
    </xf>
    <xf numFmtId="165" fontId="42" fillId="12" borderId="0" xfId="30" applyNumberFormat="1" applyFont="1" applyFill="1" applyAlignment="1" applyProtection="1">
      <alignment horizontal="center" vertical="center"/>
    </xf>
    <xf numFmtId="164" fontId="64" fillId="2" borderId="1" xfId="0" applyFont="1" applyFill="1" applyBorder="1" applyAlignment="1" applyProtection="1">
      <alignment horizontal="left"/>
    </xf>
    <xf numFmtId="165" fontId="9" fillId="2" borderId="23" xfId="0" applyNumberFormat="1" applyFont="1" applyFill="1" applyBorder="1" applyAlignment="1" applyProtection="1"/>
    <xf numFmtId="166" fontId="11" fillId="2" borderId="24" xfId="0" applyNumberFormat="1" applyFont="1" applyFill="1" applyBorder="1" applyAlignment="1" applyProtection="1">
      <alignment horizontal="center"/>
    </xf>
    <xf numFmtId="166" fontId="11" fillId="2" borderId="10" xfId="0" applyNumberFormat="1" applyFont="1" applyFill="1" applyBorder="1" applyAlignment="1" applyProtection="1">
      <alignment horizontal="center"/>
    </xf>
    <xf numFmtId="166" fontId="11" fillId="3" borderId="5" xfId="0" applyNumberFormat="1" applyFont="1" applyFill="1" applyBorder="1" applyAlignment="1" applyProtection="1">
      <alignment horizontal="left"/>
    </xf>
    <xf numFmtId="164" fontId="14" fillId="4" borderId="1" xfId="0" applyFont="1" applyFill="1" applyBorder="1" applyAlignment="1" applyProtection="1">
      <alignment horizontal="left"/>
    </xf>
    <xf numFmtId="164" fontId="15" fillId="4" borderId="23" xfId="0" applyFont="1" applyFill="1" applyBorder="1" applyAlignment="1" applyProtection="1">
      <alignment horizontal="left"/>
    </xf>
    <xf numFmtId="164" fontId="15" fillId="4" borderId="2" xfId="0" applyFont="1" applyFill="1" applyBorder="1" applyAlignment="1" applyProtection="1">
      <alignment horizontal="left"/>
    </xf>
    <xf numFmtId="164" fontId="65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0" xfId="0" applyNumberFormat="1" applyFont="1" applyFill="1" applyAlignment="1" applyProtection="1">
      <alignment horizontal="right"/>
      <protection locked="0"/>
    </xf>
    <xf numFmtId="165" fontId="18" fillId="7" borderId="6" xfId="0" quotePrefix="1" applyNumberFormat="1" applyFont="1" applyFill="1" applyBorder="1" applyAlignment="1" applyProtection="1">
      <alignment horizontal="center"/>
      <protection locked="0"/>
    </xf>
    <xf numFmtId="164" fontId="29" fillId="5" borderId="6" xfId="0" quotePrefix="1" applyFont="1" applyFill="1" applyBorder="1" applyAlignment="1" applyProtection="1">
      <alignment horizontal="center"/>
      <protection locked="0"/>
    </xf>
    <xf numFmtId="164" fontId="20" fillId="0" borderId="0" xfId="0" applyFont="1" applyFill="1" applyBorder="1" applyAlignment="1" applyProtection="1">
      <alignment horizontal="right"/>
    </xf>
    <xf numFmtId="165" fontId="18" fillId="7" borderId="9" xfId="0" applyNumberFormat="1" applyFont="1" applyFill="1" applyBorder="1" applyAlignment="1" applyProtection="1">
      <alignment horizontal="center" wrapText="1"/>
      <protection locked="0"/>
    </xf>
    <xf numFmtId="164" fontId="16" fillId="0" borderId="0" xfId="0" applyNumberFormat="1" applyFont="1" applyFill="1" applyAlignment="1" applyProtection="1">
      <alignment horizontal="right"/>
      <protection locked="0"/>
    </xf>
    <xf numFmtId="164" fontId="29" fillId="5" borderId="9" xfId="0" applyFont="1" applyFill="1" applyBorder="1" applyAlignment="1" applyProtection="1">
      <alignment horizontal="center" wrapText="1"/>
      <protection locked="0"/>
    </xf>
    <xf numFmtId="164" fontId="66" fillId="0" borderId="0" xfId="0" applyNumberFormat="1" applyFont="1" applyFill="1" applyAlignment="1" applyProtection="1">
      <alignment horizontal="center" vertical="center"/>
      <protection locked="0"/>
    </xf>
    <xf numFmtId="37" fontId="32" fillId="0" borderId="11" xfId="0" applyNumberFormat="1" applyFont="1" applyFill="1" applyBorder="1" applyAlignment="1" applyProtection="1">
      <alignment horizontal="right"/>
      <protection locked="0"/>
    </xf>
    <xf numFmtId="37" fontId="16" fillId="0" borderId="0" xfId="0" applyNumberFormat="1" applyFont="1" applyFill="1" applyBorder="1" applyAlignment="1" applyProtection="1">
      <alignment horizontal="right"/>
      <protection locked="0"/>
    </xf>
    <xf numFmtId="37" fontId="16" fillId="0" borderId="3" xfId="0" applyNumberFormat="1" applyFont="1" applyFill="1" applyBorder="1" applyAlignment="1" applyProtection="1">
      <alignment horizontal="right"/>
      <protection locked="0"/>
    </xf>
    <xf numFmtId="37" fontId="16" fillId="0" borderId="15" xfId="0" applyNumberFormat="1" applyFont="1" applyFill="1" applyBorder="1" applyAlignment="1" applyProtection="1">
      <alignment horizontal="right"/>
    </xf>
    <xf numFmtId="37" fontId="10" fillId="0" borderId="0" xfId="0" applyNumberFormat="1" applyFont="1" applyFill="1" applyProtection="1"/>
    <xf numFmtId="37" fontId="28" fillId="0" borderId="0" xfId="3" applyNumberFormat="1" applyFont="1" applyFill="1" applyBorder="1" applyAlignment="1" applyProtection="1">
      <alignment horizontal="right" vertical="top"/>
      <protection locked="0"/>
    </xf>
    <xf numFmtId="5" fontId="10" fillId="6" borderId="15" xfId="0" applyNumberFormat="1" applyFont="1" applyFill="1" applyBorder="1" applyProtection="1"/>
    <xf numFmtId="171" fontId="10" fillId="6" borderId="0" xfId="1" applyNumberFormat="1" applyFont="1" applyFill="1" applyBorder="1" applyAlignment="1" applyProtection="1">
      <alignment wrapText="1"/>
      <protection locked="0"/>
    </xf>
    <xf numFmtId="165" fontId="68" fillId="0" borderId="0" xfId="0" applyNumberFormat="1" applyFont="1" applyAlignment="1" applyProtection="1">
      <alignment horizontal="center"/>
      <protection locked="0"/>
    </xf>
    <xf numFmtId="165" fontId="66" fillId="0" borderId="0" xfId="0" applyNumberFormat="1" applyFont="1" applyAlignment="1" applyProtection="1">
      <alignment horizontal="center"/>
      <protection locked="0"/>
    </xf>
    <xf numFmtId="37" fontId="44" fillId="0" borderId="3" xfId="5" applyNumberFormat="1" applyFont="1" applyFill="1" applyBorder="1" applyAlignment="1" applyProtection="1">
      <alignment horizontal="center" wrapText="1"/>
    </xf>
    <xf numFmtId="164" fontId="16" fillId="0" borderId="0" xfId="0" applyFont="1" applyFill="1" applyBorder="1" applyAlignment="1" applyProtection="1">
      <alignment horizontal="center"/>
    </xf>
    <xf numFmtId="37" fontId="65" fillId="0" borderId="0" xfId="0" applyNumberFormat="1" applyFont="1" applyFill="1" applyBorder="1" applyAlignment="1" applyProtection="1">
      <alignment horizontal="left"/>
    </xf>
    <xf numFmtId="37" fontId="65" fillId="0" borderId="0" xfId="0" applyNumberFormat="1" applyFont="1" applyProtection="1">
      <protection locked="0"/>
    </xf>
    <xf numFmtId="43" fontId="32" fillId="0" borderId="12" xfId="1" applyFont="1" applyFill="1" applyBorder="1" applyAlignment="1" applyProtection="1">
      <alignment horizontal="right"/>
      <protection locked="0"/>
    </xf>
    <xf numFmtId="9" fontId="71" fillId="0" borderId="0" xfId="49" applyFont="1" applyFill="1" applyBorder="1" applyAlignment="1" applyProtection="1">
      <alignment horizontal="center"/>
      <protection locked="0"/>
    </xf>
    <xf numFmtId="43" fontId="32" fillId="0" borderId="11" xfId="1" applyFont="1" applyFill="1" applyBorder="1" applyAlignment="1" applyProtection="1">
      <alignment horizontal="right"/>
      <protection locked="0"/>
    </xf>
    <xf numFmtId="3" fontId="16" fillId="0" borderId="14" xfId="0" applyNumberFormat="1" applyFont="1" applyFill="1" applyBorder="1" applyAlignment="1" applyProtection="1">
      <alignment horizontal="right"/>
    </xf>
    <xf numFmtId="3" fontId="10" fillId="0" borderId="14" xfId="0" applyNumberFormat="1" applyFont="1" applyFill="1" applyBorder="1" applyAlignment="1">
      <alignment horizontal="right"/>
    </xf>
    <xf numFmtId="37" fontId="72" fillId="0" borderId="0" xfId="0" applyNumberFormat="1" applyFont="1" applyProtection="1"/>
    <xf numFmtId="37" fontId="72" fillId="0" borderId="0" xfId="40" applyNumberFormat="1" applyFont="1" applyFill="1" applyBorder="1" applyAlignment="1" applyProtection="1">
      <alignment horizontal="right"/>
      <protection locked="0"/>
    </xf>
    <xf numFmtId="166" fontId="72" fillId="0" borderId="0" xfId="40" applyNumberFormat="1" applyFont="1" applyFill="1" applyBorder="1" applyAlignment="1" applyProtection="1">
      <alignment horizontal="center"/>
      <protection locked="0"/>
    </xf>
    <xf numFmtId="176" fontId="72" fillId="0" borderId="0" xfId="0" applyNumberFormat="1" applyFont="1" applyFill="1" applyProtection="1">
      <protection locked="0"/>
    </xf>
    <xf numFmtId="176" fontId="73" fillId="0" borderId="0" xfId="0" applyNumberFormat="1" applyFont="1" applyAlignment="1"/>
    <xf numFmtId="37" fontId="74" fillId="0" borderId="0" xfId="0" applyNumberFormat="1" applyFont="1" applyFill="1" applyAlignment="1" applyProtection="1"/>
    <xf numFmtId="5" fontId="74" fillId="0" borderId="3" xfId="3" applyNumberFormat="1" applyFont="1" applyFill="1" applyBorder="1" applyProtection="1">
      <protection locked="0"/>
    </xf>
    <xf numFmtId="5" fontId="74" fillId="0" borderId="0" xfId="0" applyNumberFormat="1" applyFont="1" applyFill="1" applyAlignment="1" applyProtection="1">
      <alignment horizontal="center"/>
      <protection locked="0"/>
    </xf>
    <xf numFmtId="5" fontId="75" fillId="11" borderId="3" xfId="3" applyNumberFormat="1" applyFont="1" applyFill="1" applyBorder="1" applyProtection="1">
      <protection locked="0"/>
    </xf>
    <xf numFmtId="9" fontId="74" fillId="0" borderId="0" xfId="49" applyFont="1" applyFill="1" applyBorder="1" applyAlignment="1" applyProtection="1">
      <alignment horizontal="center"/>
      <protection locked="0"/>
    </xf>
    <xf numFmtId="171" fontId="76" fillId="0" borderId="0" xfId="3" applyNumberFormat="1" applyFont="1" applyFill="1" applyBorder="1" applyProtection="1">
      <protection locked="0"/>
    </xf>
    <xf numFmtId="165" fontId="74" fillId="0" borderId="0" xfId="0" applyNumberFormat="1" applyFont="1" applyFill="1" applyAlignment="1" applyProtection="1">
      <alignment horizontal="center"/>
      <protection locked="0"/>
    </xf>
    <xf numFmtId="171" fontId="75" fillId="11" borderId="3" xfId="3" applyNumberFormat="1" applyFont="1" applyFill="1" applyBorder="1" applyProtection="1">
      <protection locked="0"/>
    </xf>
    <xf numFmtId="171" fontId="73" fillId="0" borderId="0" xfId="1" applyNumberFormat="1" applyFont="1" applyFill="1" applyAlignment="1"/>
    <xf numFmtId="172" fontId="33" fillId="0" borderId="0" xfId="0" applyNumberFormat="1" applyFont="1" applyFill="1" applyBorder="1" applyAlignment="1" applyProtection="1">
      <alignment horizontal="left"/>
    </xf>
    <xf numFmtId="172" fontId="46" fillId="0" borderId="17" xfId="0" applyNumberFormat="1" applyFont="1" applyFill="1" applyBorder="1" applyProtection="1"/>
    <xf numFmtId="172" fontId="79" fillId="0" borderId="17" xfId="0" applyNumberFormat="1" applyFont="1" applyFill="1" applyBorder="1" applyProtection="1"/>
    <xf numFmtId="37" fontId="80" fillId="0" borderId="0" xfId="0" applyNumberFormat="1" applyFont="1" applyFill="1" applyBorder="1" applyAlignment="1" applyProtection="1">
      <alignment horizontal="left"/>
    </xf>
    <xf numFmtId="37" fontId="81" fillId="0" borderId="0" xfId="0" applyNumberFormat="1" applyFont="1" applyFill="1" applyBorder="1" applyAlignment="1" applyProtection="1">
      <alignment horizontal="left"/>
    </xf>
    <xf numFmtId="37" fontId="82" fillId="0" borderId="13" xfId="0" applyNumberFormat="1" applyFont="1" applyFill="1" applyBorder="1" applyProtection="1"/>
    <xf numFmtId="165" fontId="82" fillId="0" borderId="0" xfId="0" applyNumberFormat="1" applyFont="1" applyAlignment="1" applyProtection="1">
      <alignment horizontal="center"/>
      <protection locked="0"/>
    </xf>
    <xf numFmtId="37" fontId="83" fillId="0" borderId="0" xfId="0" applyNumberFormat="1" applyFont="1" applyFill="1" applyBorder="1" applyAlignment="1" applyProtection="1">
      <alignment horizontal="left"/>
    </xf>
    <xf numFmtId="37" fontId="83" fillId="0" borderId="13" xfId="0" applyNumberFormat="1" applyFont="1" applyFill="1" applyBorder="1" applyProtection="1"/>
    <xf numFmtId="37" fontId="65" fillId="0" borderId="0" xfId="5" applyNumberFormat="1" applyFont="1" applyFill="1" applyBorder="1" applyAlignment="1" applyProtection="1">
      <alignment horizontal="left"/>
    </xf>
    <xf numFmtId="37" fontId="10" fillId="0" borderId="0" xfId="0" applyNumberFormat="1" applyFont="1" applyFill="1" applyBorder="1" applyProtection="1"/>
    <xf numFmtId="37" fontId="16" fillId="6" borderId="0" xfId="0" applyNumberFormat="1" applyFont="1" applyFill="1" applyBorder="1" applyAlignment="1" applyProtection="1">
      <alignment horizontal="left"/>
    </xf>
    <xf numFmtId="37" fontId="16" fillId="6" borderId="0" xfId="0" applyNumberFormat="1" applyFont="1" applyFill="1" applyBorder="1" applyAlignment="1" applyProtection="1">
      <alignment horizontal="center"/>
    </xf>
    <xf numFmtId="37" fontId="16" fillId="6" borderId="0" xfId="0" applyNumberFormat="1" applyFont="1" applyFill="1" applyBorder="1" applyAlignment="1" applyProtection="1">
      <alignment horizontal="right"/>
    </xf>
    <xf numFmtId="37" fontId="86" fillId="6" borderId="0" xfId="0" applyNumberFormat="1" applyFont="1" applyFill="1" applyBorder="1" applyAlignment="1" applyProtection="1">
      <alignment horizontal="left"/>
    </xf>
    <xf numFmtId="37" fontId="86" fillId="6" borderId="0" xfId="0" applyNumberFormat="1" applyFont="1" applyFill="1" applyBorder="1" applyAlignment="1" applyProtection="1">
      <alignment horizontal="center"/>
    </xf>
    <xf numFmtId="37" fontId="86" fillId="6" borderId="0" xfId="0" applyNumberFormat="1" applyFont="1" applyFill="1" applyBorder="1" applyAlignment="1" applyProtection="1">
      <alignment horizontal="right"/>
    </xf>
    <xf numFmtId="171" fontId="20" fillId="6" borderId="3" xfId="1" applyNumberFormat="1" applyFont="1" applyFill="1" applyBorder="1" applyAlignment="1" applyProtection="1">
      <alignment wrapText="1"/>
      <protection locked="0"/>
    </xf>
    <xf numFmtId="14" fontId="20" fillId="6" borderId="10" xfId="0" quotePrefix="1" applyNumberFormat="1" applyFont="1" applyFill="1" applyBorder="1" applyAlignment="1" applyProtection="1">
      <alignment horizontal="center"/>
    </xf>
    <xf numFmtId="14" fontId="87" fillId="4" borderId="5" xfId="0" applyNumberFormat="1" applyFont="1" applyFill="1" applyBorder="1" applyAlignment="1" applyProtection="1">
      <alignment horizontal="center"/>
    </xf>
    <xf numFmtId="37" fontId="88" fillId="0" borderId="0" xfId="0" applyNumberFormat="1" applyFont="1" applyFill="1" applyProtection="1">
      <protection locked="0"/>
    </xf>
    <xf numFmtId="37" fontId="88" fillId="0" borderId="0" xfId="0" applyNumberFormat="1" applyFont="1" applyFill="1" applyAlignment="1" applyProtection="1">
      <alignment horizontal="right"/>
      <protection locked="0"/>
    </xf>
    <xf numFmtId="5" fontId="10" fillId="7" borderId="15" xfId="0" applyNumberFormat="1" applyFont="1" applyFill="1" applyBorder="1" applyProtection="1"/>
    <xf numFmtId="171" fontId="18" fillId="7" borderId="3" xfId="3" applyNumberFormat="1" applyFont="1" applyFill="1" applyBorder="1" applyProtection="1"/>
    <xf numFmtId="167" fontId="10" fillId="0" borderId="0" xfId="0" applyNumberFormat="1" applyFont="1" applyFill="1" applyProtection="1">
      <protection locked="0"/>
    </xf>
    <xf numFmtId="172" fontId="48" fillId="7" borderId="17" xfId="0" applyNumberFormat="1" applyFont="1" applyFill="1" applyBorder="1" applyProtection="1"/>
    <xf numFmtId="166" fontId="26" fillId="2" borderId="10" xfId="0" applyNumberFormat="1" applyFont="1" applyFill="1" applyBorder="1" applyAlignment="1" applyProtection="1">
      <alignment horizontal="center"/>
    </xf>
    <xf numFmtId="164" fontId="65" fillId="0" borderId="0" xfId="0" applyNumberFormat="1" applyFont="1" applyFill="1" applyAlignment="1" applyProtection="1">
      <alignment horizontal="center" vertical="center"/>
      <protection locked="0"/>
    </xf>
    <xf numFmtId="3" fontId="16" fillId="0" borderId="14" xfId="0" applyNumberFormat="1" applyFont="1" applyFill="1" applyBorder="1" applyProtection="1"/>
    <xf numFmtId="167" fontId="78" fillId="0" borderId="0" xfId="0" applyNumberFormat="1" applyFont="1" applyFill="1" applyBorder="1" applyAlignment="1">
      <alignment horizontal="right"/>
    </xf>
    <xf numFmtId="171" fontId="78" fillId="0" borderId="0" xfId="1" applyNumberFormat="1" applyFont="1" applyFill="1" applyBorder="1" applyAlignment="1">
      <alignment horizontal="right"/>
    </xf>
    <xf numFmtId="37" fontId="83" fillId="0" borderId="27" xfId="0" applyNumberFormat="1" applyFont="1" applyFill="1" applyBorder="1" applyProtection="1"/>
    <xf numFmtId="37" fontId="10" fillId="0" borderId="14" xfId="0" applyNumberFormat="1" applyFont="1" applyFill="1" applyBorder="1" applyProtection="1"/>
    <xf numFmtId="37" fontId="85" fillId="0" borderId="26" xfId="0" applyNumberFormat="1" applyFont="1" applyFill="1" applyBorder="1" applyProtection="1">
      <protection locked="0"/>
    </xf>
    <xf numFmtId="37" fontId="10" fillId="0" borderId="15" xfId="0" applyNumberFormat="1" applyFont="1" applyFill="1" applyBorder="1" applyProtection="1"/>
    <xf numFmtId="165" fontId="9" fillId="0" borderId="0" xfId="0" applyNumberFormat="1" applyFont="1" applyFill="1" applyAlignment="1" applyProtection="1">
      <protection locked="0"/>
    </xf>
    <xf numFmtId="165" fontId="13" fillId="0" borderId="0" xfId="0" applyNumberFormat="1" applyFont="1" applyFill="1" applyAlignment="1" applyProtection="1">
      <protection locked="0"/>
    </xf>
    <xf numFmtId="164" fontId="90" fillId="6" borderId="1" xfId="0" applyFont="1" applyFill="1" applyBorder="1" applyAlignment="1" applyProtection="1">
      <alignment horizontal="left"/>
    </xf>
    <xf numFmtId="164" fontId="87" fillId="6" borderId="23" xfId="0" applyFont="1" applyFill="1" applyBorder="1" applyAlignment="1" applyProtection="1">
      <alignment horizontal="left"/>
    </xf>
    <xf numFmtId="164" fontId="15" fillId="6" borderId="2" xfId="0" applyFont="1" applyFill="1" applyBorder="1" applyAlignment="1" applyProtection="1">
      <alignment horizontal="left"/>
    </xf>
    <xf numFmtId="165" fontId="23" fillId="0" borderId="0" xfId="0" applyNumberFormat="1" applyFont="1" applyBorder="1" applyAlignment="1" applyProtection="1">
      <alignment horizontal="center"/>
    </xf>
    <xf numFmtId="164" fontId="70" fillId="0" borderId="4" xfId="0" applyFont="1" applyBorder="1" applyAlignment="1" applyProtection="1">
      <alignment horizontal="left"/>
      <protection locked="0"/>
    </xf>
    <xf numFmtId="164" fontId="20" fillId="6" borderId="24" xfId="0" applyFont="1" applyFill="1" applyBorder="1" applyAlignment="1" applyProtection="1">
      <alignment horizontal="left"/>
    </xf>
    <xf numFmtId="14" fontId="20" fillId="12" borderId="10" xfId="0" quotePrefix="1" applyNumberFormat="1" applyFont="1" applyFill="1" applyBorder="1" applyAlignment="1" applyProtection="1">
      <alignment horizontal="center"/>
    </xf>
    <xf numFmtId="14" fontId="87" fillId="6" borderId="5" xfId="0" applyNumberFormat="1" applyFont="1" applyFill="1" applyBorder="1" applyAlignment="1" applyProtection="1">
      <alignment horizontal="center"/>
    </xf>
    <xf numFmtId="165" fontId="39" fillId="0" borderId="0" xfId="0" applyNumberFormat="1" applyFont="1" applyAlignment="1" applyProtection="1">
      <alignment horizontal="center"/>
      <protection locked="0"/>
    </xf>
    <xf numFmtId="164" fontId="92" fillId="9" borderId="3" xfId="0" applyNumberFormat="1" applyFont="1" applyFill="1" applyBorder="1" applyAlignment="1" applyProtection="1">
      <alignment horizontal="center" vertical="center" wrapText="1"/>
      <protection locked="0"/>
    </xf>
    <xf numFmtId="37" fontId="32" fillId="0" borderId="3" xfId="0" applyNumberFormat="1" applyFont="1" applyFill="1" applyBorder="1" applyAlignment="1" applyProtection="1">
      <alignment horizontal="center" vertical="center"/>
      <protection locked="0"/>
    </xf>
    <xf numFmtId="177" fontId="93" fillId="0" borderId="3" xfId="0" applyNumberFormat="1" applyFont="1" applyFill="1" applyBorder="1" applyAlignment="1" applyProtection="1">
      <alignment horizontal="center" vertical="center"/>
      <protection locked="0"/>
    </xf>
    <xf numFmtId="164" fontId="15" fillId="0" borderId="0" xfId="0" applyNumberFormat="1" applyFont="1" applyFill="1" applyBorder="1" applyAlignment="1" applyProtection="1">
      <alignment horizontal="center" vertical="center"/>
      <protection locked="0"/>
    </xf>
    <xf numFmtId="164" fontId="94" fillId="0" borderId="0" xfId="0" applyNumberFormat="1" applyFont="1" applyFill="1" applyBorder="1" applyAlignment="1" applyProtection="1">
      <alignment horizontal="center"/>
      <protection locked="0"/>
    </xf>
    <xf numFmtId="165" fontId="69" fillId="9" borderId="7" xfId="0" applyNumberFormat="1" applyFont="1" applyFill="1" applyBorder="1" applyAlignment="1" applyProtection="1">
      <alignment horizontal="center"/>
      <protection locked="0"/>
    </xf>
    <xf numFmtId="164" fontId="65" fillId="9" borderId="0" xfId="0" applyNumberFormat="1" applyFont="1" applyFill="1" applyAlignment="1" applyProtection="1">
      <alignment horizontal="center" vertical="center"/>
      <protection locked="0"/>
    </xf>
    <xf numFmtId="164" fontId="10" fillId="9" borderId="0" xfId="0" applyNumberFormat="1" applyFont="1" applyFill="1" applyAlignment="1" applyProtection="1">
      <alignment horizontal="center" vertical="center"/>
      <protection locked="0"/>
    </xf>
    <xf numFmtId="43" fontId="65" fillId="9" borderId="26" xfId="1" applyFont="1" applyFill="1" applyBorder="1" applyProtection="1">
      <protection locked="0"/>
    </xf>
    <xf numFmtId="171" fontId="65" fillId="9" borderId="26" xfId="1" applyNumberFormat="1" applyFont="1" applyFill="1" applyBorder="1" applyProtection="1">
      <protection locked="0"/>
    </xf>
    <xf numFmtId="43" fontId="65" fillId="9" borderId="13" xfId="1" applyFont="1" applyFill="1" applyBorder="1" applyProtection="1"/>
    <xf numFmtId="43" fontId="16" fillId="0" borderId="3" xfId="1" applyFont="1" applyFill="1" applyBorder="1" applyAlignment="1" applyProtection="1">
      <alignment horizontal="right"/>
      <protection locked="0"/>
    </xf>
    <xf numFmtId="43" fontId="65" fillId="9" borderId="28" xfId="1" applyFont="1" applyFill="1" applyBorder="1" applyProtection="1">
      <protection locked="0"/>
    </xf>
    <xf numFmtId="37" fontId="65" fillId="9" borderId="28" xfId="0" applyNumberFormat="1" applyFont="1" applyFill="1" applyBorder="1" applyProtection="1">
      <protection locked="0"/>
    </xf>
    <xf numFmtId="164" fontId="16" fillId="9" borderId="0" xfId="0" applyFont="1" applyFill="1" applyBorder="1" applyProtection="1"/>
    <xf numFmtId="37" fontId="96" fillId="0" borderId="0" xfId="0" applyNumberFormat="1" applyFont="1" applyFill="1" applyBorder="1" applyAlignment="1" applyProtection="1">
      <alignment horizontal="center"/>
      <protection locked="0"/>
    </xf>
    <xf numFmtId="3" fontId="16" fillId="9" borderId="0" xfId="0" applyNumberFormat="1" applyFont="1" applyFill="1" applyBorder="1" applyProtection="1"/>
    <xf numFmtId="3" fontId="16" fillId="9" borderId="0" xfId="0" applyNumberFormat="1" applyFont="1" applyFill="1" applyBorder="1" applyAlignment="1" applyProtection="1">
      <alignment horizontal="right"/>
    </xf>
    <xf numFmtId="3" fontId="10" fillId="9" borderId="0" xfId="0" applyNumberFormat="1" applyFont="1" applyFill="1" applyBorder="1" applyAlignment="1">
      <alignment horizontal="right"/>
    </xf>
    <xf numFmtId="37" fontId="96" fillId="0" borderId="0" xfId="0" applyNumberFormat="1" applyFont="1" applyFill="1" applyBorder="1" applyProtection="1">
      <protection locked="0"/>
    </xf>
    <xf numFmtId="176" fontId="67" fillId="9" borderId="3" xfId="0" applyNumberFormat="1" applyFont="1" applyFill="1" applyBorder="1" applyAlignment="1">
      <alignment horizontal="right"/>
    </xf>
    <xf numFmtId="176" fontId="67" fillId="9" borderId="3" xfId="0" applyNumberFormat="1" applyFont="1" applyFill="1" applyBorder="1" applyAlignment="1"/>
    <xf numFmtId="5" fontId="10" fillId="0" borderId="0" xfId="0" applyNumberFormat="1" applyFont="1" applyFill="1" applyBorder="1" applyProtection="1">
      <protection locked="0"/>
    </xf>
    <xf numFmtId="37" fontId="10" fillId="0" borderId="0" xfId="0" applyNumberFormat="1" applyFont="1" applyFill="1" applyProtection="1">
      <protection locked="0"/>
    </xf>
    <xf numFmtId="37" fontId="97" fillId="0" borderId="0" xfId="0" applyNumberFormat="1" applyFont="1" applyFill="1" applyBorder="1" applyProtection="1">
      <protection locked="0"/>
    </xf>
    <xf numFmtId="37" fontId="74" fillId="0" borderId="0" xfId="0" applyNumberFormat="1" applyFont="1" applyFill="1" applyProtection="1">
      <protection locked="0"/>
    </xf>
    <xf numFmtId="37" fontId="74" fillId="0" borderId="0" xfId="3" applyNumberFormat="1" applyFont="1" applyFill="1" applyBorder="1" applyAlignment="1" applyProtection="1">
      <alignment horizontal="right"/>
      <protection locked="0"/>
    </xf>
    <xf numFmtId="5" fontId="74" fillId="9" borderId="3" xfId="3" applyNumberFormat="1" applyFont="1" applyFill="1" applyBorder="1" applyProtection="1">
      <protection locked="0"/>
    </xf>
    <xf numFmtId="9" fontId="98" fillId="0" borderId="0" xfId="49" applyFont="1" applyFill="1" applyBorder="1" applyAlignment="1" applyProtection="1">
      <alignment horizontal="center"/>
      <protection locked="0"/>
    </xf>
    <xf numFmtId="37" fontId="97" fillId="0" borderId="0" xfId="0" applyNumberFormat="1" applyFont="1" applyFill="1" applyProtection="1"/>
    <xf numFmtId="178" fontId="97" fillId="0" borderId="0" xfId="0" applyNumberFormat="1" applyFont="1" applyBorder="1" applyProtection="1">
      <protection locked="0"/>
    </xf>
    <xf numFmtId="37" fontId="97" fillId="0" borderId="0" xfId="0" applyNumberFormat="1" applyFont="1" applyFill="1" applyBorder="1" applyAlignment="1" applyProtection="1">
      <alignment horizontal="center" wrapText="1"/>
    </xf>
    <xf numFmtId="178" fontId="97" fillId="0" borderId="0" xfId="0" applyNumberFormat="1" applyFont="1" applyBorder="1" applyAlignment="1" applyProtection="1">
      <alignment horizontal="center" wrapText="1"/>
    </xf>
    <xf numFmtId="37" fontId="97" fillId="0" borderId="0" xfId="0" applyNumberFormat="1" applyFont="1" applyFill="1" applyProtection="1">
      <protection locked="0"/>
    </xf>
    <xf numFmtId="164" fontId="97" fillId="0" borderId="0" xfId="0" applyFont="1" applyFill="1" applyBorder="1" applyProtection="1">
      <protection locked="0"/>
    </xf>
    <xf numFmtId="178" fontId="10" fillId="0" borderId="0" xfId="0" applyNumberFormat="1" applyFont="1" applyBorder="1" applyProtection="1">
      <protection locked="0"/>
    </xf>
    <xf numFmtId="37" fontId="10" fillId="0" borderId="0" xfId="0" applyNumberFormat="1" applyFont="1" applyFill="1" applyBorder="1" applyAlignment="1" applyProtection="1">
      <alignment horizontal="center" wrapText="1"/>
    </xf>
    <xf numFmtId="178" fontId="10" fillId="0" borderId="0" xfId="0" applyNumberFormat="1" applyFont="1" applyBorder="1" applyAlignment="1" applyProtection="1">
      <alignment horizontal="center" wrapText="1"/>
    </xf>
    <xf numFmtId="164" fontId="10" fillId="0" borderId="0" xfId="0" applyFont="1" applyFill="1" applyProtection="1">
      <protection locked="0"/>
    </xf>
    <xf numFmtId="37" fontId="74" fillId="0" borderId="0" xfId="0" applyNumberFormat="1" applyFont="1" applyFill="1" applyAlignment="1" applyProtection="1">
      <alignment horizontal="right"/>
      <protection locked="0"/>
    </xf>
    <xf numFmtId="167" fontId="78" fillId="9" borderId="0" xfId="0" applyNumberFormat="1" applyFont="1" applyFill="1" applyBorder="1" applyAlignment="1">
      <alignment horizontal="right"/>
    </xf>
    <xf numFmtId="171" fontId="78" fillId="9" borderId="0" xfId="1" applyNumberFormat="1" applyFont="1" applyFill="1" applyBorder="1" applyAlignment="1">
      <alignment horizontal="right"/>
    </xf>
    <xf numFmtId="167" fontId="10" fillId="0" borderId="0" xfId="0" applyNumberFormat="1" applyFont="1" applyFill="1" applyBorder="1" applyProtection="1">
      <protection locked="0"/>
    </xf>
    <xf numFmtId="171" fontId="87" fillId="0" borderId="3" xfId="3" applyNumberFormat="1" applyFont="1" applyFill="1" applyBorder="1" applyProtection="1"/>
    <xf numFmtId="7" fontId="10" fillId="0" borderId="0" xfId="0" applyNumberFormat="1" applyFont="1" applyFill="1" applyBorder="1" applyProtection="1"/>
    <xf numFmtId="37" fontId="10" fillId="5" borderId="3" xfId="0" applyNumberFormat="1" applyFont="1" applyFill="1" applyBorder="1" applyProtection="1"/>
    <xf numFmtId="167" fontId="67" fillId="9" borderId="3" xfId="0" applyNumberFormat="1" applyFont="1" applyFill="1" applyBorder="1" applyAlignment="1">
      <alignment horizontal="right"/>
    </xf>
    <xf numFmtId="167" fontId="72" fillId="0" borderId="0" xfId="0" applyNumberFormat="1" applyFont="1" applyFill="1" applyProtection="1">
      <protection locked="0"/>
    </xf>
    <xf numFmtId="37" fontId="95" fillId="15" borderId="3" xfId="0" applyNumberFormat="1" applyFont="1" applyFill="1" applyBorder="1" applyAlignment="1" applyProtection="1">
      <alignment horizontal="center" vertical="center" wrapText="1"/>
    </xf>
    <xf numFmtId="172" fontId="46" fillId="0" borderId="0" xfId="0" applyNumberFormat="1" applyFont="1" applyFill="1" applyBorder="1" applyProtection="1">
      <protection locked="0"/>
    </xf>
    <xf numFmtId="172" fontId="46" fillId="9" borderId="18" xfId="0" applyNumberFormat="1" applyFont="1" applyFill="1" applyBorder="1" applyProtection="1"/>
    <xf numFmtId="172" fontId="46" fillId="9" borderId="17" xfId="0" applyNumberFormat="1" applyFont="1" applyFill="1" applyBorder="1" applyProtection="1"/>
    <xf numFmtId="37" fontId="46" fillId="0" borderId="0" xfId="0" applyNumberFormat="1" applyFont="1" applyFill="1" applyBorder="1" applyProtection="1"/>
    <xf numFmtId="172" fontId="48" fillId="5" borderId="17" xfId="0" applyNumberFormat="1" applyFont="1" applyFill="1" applyBorder="1" applyProtection="1"/>
    <xf numFmtId="172" fontId="46" fillId="0" borderId="0" xfId="0" applyNumberFormat="1" applyFont="1" applyFill="1" applyProtection="1">
      <protection locked="0"/>
    </xf>
    <xf numFmtId="37" fontId="82" fillId="9" borderId="13" xfId="0" applyNumberFormat="1" applyFont="1" applyFill="1" applyBorder="1" applyProtection="1"/>
    <xf numFmtId="171" fontId="83" fillId="0" borderId="10" xfId="1" applyNumberFormat="1" applyFont="1" applyFill="1" applyBorder="1" applyProtection="1">
      <protection locked="0"/>
    </xf>
    <xf numFmtId="37" fontId="47" fillId="0" borderId="0" xfId="0" applyNumberFormat="1" applyFont="1" applyFill="1" applyBorder="1" applyProtection="1"/>
    <xf numFmtId="172" fontId="46" fillId="0" borderId="0" xfId="0" applyNumberFormat="1" applyFont="1" applyProtection="1">
      <protection locked="0"/>
    </xf>
    <xf numFmtId="172" fontId="48" fillId="9" borderId="17" xfId="0" applyNumberFormat="1" applyFont="1" applyFill="1" applyBorder="1" applyProtection="1"/>
    <xf numFmtId="37" fontId="10" fillId="9" borderId="13" xfId="0" applyNumberFormat="1" applyFont="1" applyFill="1" applyBorder="1" applyProtection="1">
      <protection locked="0"/>
    </xf>
    <xf numFmtId="37" fontId="83" fillId="9" borderId="27" xfId="0" applyNumberFormat="1" applyFont="1" applyFill="1" applyBorder="1" applyProtection="1"/>
    <xf numFmtId="37" fontId="83" fillId="9" borderId="13" xfId="0" applyNumberFormat="1" applyFont="1" applyFill="1" applyBorder="1" applyProtection="1"/>
    <xf numFmtId="37" fontId="16" fillId="0" borderId="13" xfId="0" applyNumberFormat="1" applyFont="1" applyFill="1" applyBorder="1" applyProtection="1"/>
    <xf numFmtId="37" fontId="99" fillId="12" borderId="29" xfId="0" applyNumberFormat="1" applyFont="1" applyFill="1" applyBorder="1" applyProtection="1"/>
    <xf numFmtId="37" fontId="83" fillId="12" borderId="9" xfId="0" applyNumberFormat="1" applyFont="1" applyFill="1" applyBorder="1" applyProtection="1"/>
    <xf numFmtId="37" fontId="100" fillId="0" borderId="0" xfId="0" applyNumberFormat="1" applyFont="1" applyFill="1" applyBorder="1" applyAlignment="1" applyProtection="1">
      <alignment horizontal="left"/>
    </xf>
    <xf numFmtId="37" fontId="100" fillId="9" borderId="27" xfId="0" applyNumberFormat="1" applyFont="1" applyFill="1" applyBorder="1" applyProtection="1"/>
    <xf numFmtId="165" fontId="100" fillId="0" borderId="0" xfId="0" applyNumberFormat="1" applyFont="1" applyAlignment="1" applyProtection="1">
      <alignment horizontal="center"/>
      <protection locked="0"/>
    </xf>
    <xf numFmtId="37" fontId="100" fillId="12" borderId="13" xfId="0" applyNumberFormat="1" applyFont="1" applyFill="1" applyBorder="1" applyProtection="1"/>
    <xf numFmtId="37" fontId="101" fillId="0" borderId="0" xfId="0" applyNumberFormat="1" applyFont="1" applyFill="1" applyBorder="1" applyProtection="1">
      <protection locked="0"/>
    </xf>
    <xf numFmtId="37" fontId="10" fillId="9" borderId="0" xfId="0" applyNumberFormat="1" applyFont="1" applyFill="1" applyBorder="1" applyProtection="1">
      <protection locked="0"/>
    </xf>
    <xf numFmtId="37" fontId="16" fillId="9" borderId="0" xfId="0" applyNumberFormat="1" applyFont="1" applyFill="1" applyBorder="1" applyProtection="1">
      <protection locked="0"/>
    </xf>
    <xf numFmtId="37" fontId="10" fillId="9" borderId="14" xfId="0" applyNumberFormat="1" applyFont="1" applyFill="1" applyBorder="1" applyProtection="1"/>
    <xf numFmtId="37" fontId="102" fillId="0" borderId="0" xfId="0" applyNumberFormat="1" applyFont="1" applyFill="1" applyBorder="1" applyProtection="1">
      <protection locked="0"/>
    </xf>
    <xf numFmtId="171" fontId="50" fillId="9" borderId="0" xfId="1" applyNumberFormat="1" applyFont="1" applyFill="1" applyBorder="1" applyProtection="1"/>
    <xf numFmtId="171" fontId="52" fillId="9" borderId="0" xfId="1" applyNumberFormat="1" applyFont="1" applyFill="1" applyBorder="1" applyProtection="1">
      <protection locked="0"/>
    </xf>
    <xf numFmtId="37" fontId="85" fillId="9" borderId="26" xfId="0" applyNumberFormat="1" applyFont="1" applyFill="1" applyBorder="1" applyProtection="1">
      <protection locked="0"/>
    </xf>
    <xf numFmtId="5" fontId="10" fillId="9" borderId="15" xfId="0" applyNumberFormat="1" applyFont="1" applyFill="1" applyBorder="1" applyProtection="1"/>
    <xf numFmtId="5" fontId="16" fillId="9" borderId="15" xfId="0" applyNumberFormat="1" applyFont="1" applyFill="1" applyBorder="1" applyProtection="1"/>
    <xf numFmtId="171" fontId="10" fillId="0" borderId="0" xfId="40" applyNumberFormat="1" applyFont="1" applyBorder="1" applyProtection="1">
      <protection locked="0"/>
    </xf>
    <xf numFmtId="164" fontId="10" fillId="9" borderId="0" xfId="0" applyFont="1" applyFill="1" applyBorder="1" applyAlignment="1" applyProtection="1">
      <alignment wrapText="1"/>
      <protection locked="0"/>
    </xf>
    <xf numFmtId="171" fontId="10" fillId="9" borderId="0" xfId="1" applyNumberFormat="1" applyFont="1" applyFill="1" applyBorder="1" applyAlignment="1" applyProtection="1">
      <alignment wrapText="1"/>
      <protection locked="0"/>
    </xf>
    <xf numFmtId="171" fontId="10" fillId="0" borderId="0" xfId="3" applyNumberFormat="1" applyFont="1" applyFill="1" applyBorder="1" applyProtection="1">
      <protection locked="0"/>
    </xf>
    <xf numFmtId="164" fontId="103" fillId="0" borderId="0" xfId="0" applyFont="1" applyFill="1" applyAlignment="1" applyProtection="1">
      <alignment horizontal="right"/>
      <protection locked="0"/>
    </xf>
    <xf numFmtId="164" fontId="103" fillId="0" borderId="0" xfId="0" applyFont="1" applyFill="1" applyBorder="1" applyProtection="1">
      <protection locked="0"/>
    </xf>
    <xf numFmtId="37" fontId="104" fillId="0" borderId="0" xfId="0" applyNumberFormat="1" applyFont="1" applyFill="1" applyBorder="1" applyProtection="1"/>
    <xf numFmtId="171" fontId="10" fillId="0" borderId="0" xfId="3" applyNumberFormat="1" applyFont="1" applyBorder="1" applyProtection="1">
      <protection locked="0"/>
    </xf>
    <xf numFmtId="164" fontId="105" fillId="0" borderId="0" xfId="0" applyFont="1" applyAlignment="1" applyProtection="1">
      <alignment horizontal="center"/>
      <protection locked="0"/>
    </xf>
    <xf numFmtId="178" fontId="32" fillId="6" borderId="0" xfId="0" applyNumberFormat="1" applyFont="1" applyFill="1" applyBorder="1" applyProtection="1"/>
    <xf numFmtId="178" fontId="106" fillId="6" borderId="0" xfId="0" applyNumberFormat="1" applyFont="1" applyFill="1" applyBorder="1" applyAlignment="1" applyProtection="1">
      <alignment horizontal="center"/>
    </xf>
    <xf numFmtId="178" fontId="32" fillId="6" borderId="0" xfId="0" applyNumberFormat="1" applyFont="1" applyFill="1" applyBorder="1" applyAlignment="1" applyProtection="1">
      <alignment horizontal="right"/>
    </xf>
    <xf numFmtId="179" fontId="10" fillId="9" borderId="0" xfId="1" applyNumberFormat="1" applyFont="1" applyFill="1" applyBorder="1" applyAlignment="1" applyProtection="1">
      <alignment wrapText="1"/>
      <protection locked="0"/>
    </xf>
    <xf numFmtId="37" fontId="104" fillId="0" borderId="30" xfId="0" applyNumberFormat="1" applyFont="1" applyFill="1" applyBorder="1" applyProtection="1"/>
    <xf numFmtId="179" fontId="107" fillId="9" borderId="0" xfId="1" applyNumberFormat="1" applyFont="1" applyFill="1" applyBorder="1" applyAlignment="1" applyProtection="1">
      <alignment wrapText="1"/>
      <protection locked="0"/>
    </xf>
    <xf numFmtId="164" fontId="103" fillId="0" borderId="0" xfId="0" applyFont="1" applyFill="1" applyProtection="1">
      <protection locked="0"/>
    </xf>
    <xf numFmtId="178" fontId="10" fillId="0" borderId="0" xfId="0" applyNumberFormat="1" applyFont="1" applyProtection="1">
      <protection locked="0"/>
    </xf>
    <xf numFmtId="164" fontId="103" fillId="14" borderId="0" xfId="0" applyFont="1" applyFill="1" applyAlignment="1" applyProtection="1">
      <alignment horizontal="right"/>
      <protection locked="0"/>
    </xf>
    <xf numFmtId="164" fontId="10" fillId="14" borderId="0" xfId="0" applyFont="1" applyFill="1" applyBorder="1" applyProtection="1">
      <protection locked="0"/>
    </xf>
    <xf numFmtId="9" fontId="104" fillId="14" borderId="30" xfId="49" applyFont="1" applyFill="1" applyBorder="1" applyProtection="1"/>
    <xf numFmtId="164" fontId="10" fillId="0" borderId="0" xfId="0" applyFont="1" applyFill="1" applyAlignment="1" applyProtection="1">
      <alignment horizontal="right"/>
      <protection locked="0"/>
    </xf>
    <xf numFmtId="178" fontId="10" fillId="16" borderId="31" xfId="0" applyNumberFormat="1" applyFont="1" applyFill="1" applyBorder="1" applyProtection="1"/>
    <xf numFmtId="178" fontId="10" fillId="17" borderId="31" xfId="0" applyNumberFormat="1" applyFont="1" applyFill="1" applyBorder="1" applyProtection="1"/>
    <xf numFmtId="180" fontId="57" fillId="12" borderId="3" xfId="0" applyNumberFormat="1" applyFont="1" applyFill="1" applyBorder="1" applyAlignment="1">
      <alignment horizontal="right" vertical="top"/>
    </xf>
    <xf numFmtId="180" fontId="57" fillId="0" borderId="3" xfId="0" applyNumberFormat="1" applyFont="1" applyBorder="1" applyAlignment="1">
      <alignment vertical="top"/>
    </xf>
    <xf numFmtId="167" fontId="57" fillId="0" borderId="3" xfId="0" applyNumberFormat="1" applyFont="1" applyBorder="1" applyAlignment="1">
      <alignment horizontal="right" vertical="top"/>
    </xf>
    <xf numFmtId="167" fontId="57" fillId="12" borderId="3" xfId="0" applyNumberFormat="1" applyFont="1" applyFill="1" applyBorder="1" applyAlignment="1">
      <alignment horizontal="right" vertical="top"/>
    </xf>
    <xf numFmtId="167" fontId="57" fillId="0" borderId="3" xfId="0" applyNumberFormat="1" applyFont="1" applyBorder="1" applyAlignment="1">
      <alignment vertical="top"/>
    </xf>
    <xf numFmtId="164" fontId="10" fillId="18" borderId="0" xfId="0" applyFont="1" applyFill="1" applyAlignment="1" applyProtection="1">
      <alignment horizontal="center"/>
      <protection locked="0"/>
    </xf>
    <xf numFmtId="164" fontId="108" fillId="13" borderId="25" xfId="0" applyNumberFormat="1" applyFont="1" applyFill="1" applyBorder="1" applyAlignment="1" applyProtection="1">
      <alignment horizontal="center" wrapText="1"/>
    </xf>
    <xf numFmtId="164" fontId="10" fillId="18" borderId="6" xfId="0" applyFont="1" applyFill="1" applyBorder="1" applyAlignment="1" applyProtection="1">
      <alignment horizontal="center"/>
      <protection locked="0"/>
    </xf>
    <xf numFmtId="164" fontId="29" fillId="5" borderId="13" xfId="0" applyFont="1" applyFill="1" applyBorder="1" applyAlignment="1" applyProtection="1">
      <alignment horizontal="center" wrapText="1"/>
      <protection locked="0"/>
    </xf>
    <xf numFmtId="164" fontId="108" fillId="13" borderId="6" xfId="0" applyNumberFormat="1" applyFont="1" applyFill="1" applyBorder="1" applyAlignment="1" applyProtection="1">
      <alignment horizontal="center" wrapText="1"/>
    </xf>
    <xf numFmtId="37" fontId="83" fillId="5" borderId="13" xfId="0" applyNumberFormat="1" applyFont="1" applyFill="1" applyBorder="1" applyProtection="1"/>
    <xf numFmtId="5" fontId="10" fillId="9" borderId="14" xfId="0" applyNumberFormat="1" applyFont="1" applyFill="1" applyBorder="1" applyProtection="1"/>
    <xf numFmtId="171" fontId="65" fillId="9" borderId="3" xfId="1" applyNumberFormat="1" applyFont="1" applyFill="1" applyBorder="1" applyAlignment="1" applyProtection="1">
      <alignment wrapText="1"/>
      <protection locked="0"/>
    </xf>
    <xf numFmtId="171" fontId="18" fillId="9" borderId="3" xfId="3" applyNumberFormat="1" applyFont="1" applyFill="1" applyBorder="1" applyProtection="1"/>
    <xf numFmtId="165" fontId="18" fillId="19" borderId="6" xfId="0" applyNumberFormat="1" applyFont="1" applyFill="1" applyBorder="1" applyAlignment="1" applyProtection="1">
      <alignment horizontal="center"/>
      <protection locked="0"/>
    </xf>
    <xf numFmtId="37" fontId="109" fillId="7" borderId="13" xfId="0" applyNumberFormat="1" applyFont="1" applyFill="1" applyBorder="1" applyProtection="1"/>
    <xf numFmtId="164" fontId="110" fillId="6" borderId="24" xfId="0" applyFont="1" applyFill="1" applyBorder="1" applyAlignment="1" applyProtection="1">
      <alignment horizontal="left"/>
    </xf>
    <xf numFmtId="164" fontId="10" fillId="0" borderId="0" xfId="0" applyFont="1" applyBorder="1" applyAlignment="1" applyProtection="1">
      <alignment horizontal="left" wrapText="1"/>
    </xf>
    <xf numFmtId="165" fontId="42" fillId="12" borderId="10" xfId="0" applyNumberFormat="1" applyFont="1" applyFill="1" applyBorder="1" applyAlignment="1" applyProtection="1">
      <alignment vertical="center"/>
    </xf>
    <xf numFmtId="164" fontId="113" fillId="13" borderId="6" xfId="0" applyNumberFormat="1" applyFont="1" applyFill="1" applyBorder="1" applyAlignment="1" applyProtection="1">
      <alignment horizontal="center" wrapText="1"/>
    </xf>
    <xf numFmtId="164" fontId="114" fillId="13" borderId="9" xfId="0" applyNumberFormat="1" applyFont="1" applyFill="1" applyBorder="1" applyAlignment="1" applyProtection="1">
      <alignment horizontal="center" wrapText="1"/>
    </xf>
    <xf numFmtId="164" fontId="115" fillId="0" borderId="0" xfId="0" applyFont="1"/>
    <xf numFmtId="37" fontId="116" fillId="0" borderId="0" xfId="40" applyNumberFormat="1" applyFont="1" applyFill="1" applyBorder="1" applyAlignment="1" applyProtection="1">
      <alignment horizontal="right"/>
      <protection locked="0"/>
    </xf>
    <xf numFmtId="166" fontId="116" fillId="0" borderId="0" xfId="40" applyNumberFormat="1" applyFont="1" applyFill="1" applyBorder="1" applyAlignment="1" applyProtection="1">
      <alignment horizontal="center"/>
      <protection locked="0"/>
    </xf>
    <xf numFmtId="176" fontId="117" fillId="0" borderId="0" xfId="0" applyNumberFormat="1" applyFont="1" applyFill="1" applyBorder="1" applyAlignment="1">
      <alignment horizontal="right"/>
    </xf>
    <xf numFmtId="176" fontId="117" fillId="0" borderId="0" xfId="0" applyNumberFormat="1" applyFont="1" applyFill="1" applyBorder="1" applyAlignment="1"/>
    <xf numFmtId="176" fontId="116" fillId="0" borderId="0" xfId="0" applyNumberFormat="1" applyFont="1" applyFill="1" applyProtection="1">
      <protection locked="0"/>
    </xf>
    <xf numFmtId="176" fontId="118" fillId="0" borderId="0" xfId="0" applyNumberFormat="1" applyFont="1" applyAlignment="1"/>
    <xf numFmtId="172" fontId="48" fillId="20" borderId="18" xfId="0" applyNumberFormat="1" applyFont="1" applyFill="1" applyBorder="1"/>
    <xf numFmtId="165" fontId="21" fillId="4" borderId="7" xfId="0" applyNumberFormat="1" applyFont="1" applyFill="1" applyBorder="1" applyAlignment="1" applyProtection="1">
      <alignment horizontal="left"/>
      <protection locked="0"/>
    </xf>
    <xf numFmtId="37" fontId="46" fillId="0" borderId="0" xfId="0" applyNumberFormat="1" applyFont="1" applyProtection="1">
      <protection locked="0"/>
    </xf>
    <xf numFmtId="171" fontId="75" fillId="18" borderId="3" xfId="3" applyNumberFormat="1" applyFont="1" applyFill="1" applyBorder="1" applyProtection="1">
      <protection locked="0"/>
    </xf>
    <xf numFmtId="37" fontId="122" fillId="0" borderId="3" xfId="0" applyNumberFormat="1" applyFont="1" applyFill="1" applyBorder="1" applyProtection="1"/>
    <xf numFmtId="5" fontId="16" fillId="7" borderId="0" xfId="0" applyNumberFormat="1" applyFont="1" applyFill="1" applyBorder="1" applyProtection="1"/>
    <xf numFmtId="171" fontId="65" fillId="9" borderId="0" xfId="1" applyNumberFormat="1" applyFont="1" applyFill="1" applyBorder="1" applyAlignment="1" applyProtection="1">
      <alignment wrapText="1"/>
      <protection locked="0"/>
    </xf>
    <xf numFmtId="167" fontId="123" fillId="0" borderId="0" xfId="0" applyNumberFormat="1" applyFont="1" applyAlignment="1" applyProtection="1">
      <alignment horizontal="center"/>
      <protection locked="0"/>
    </xf>
    <xf numFmtId="164" fontId="10" fillId="0" borderId="0" xfId="0" applyFont="1" applyBorder="1" applyAlignment="1" applyProtection="1">
      <alignment horizontal="left" wrapText="1"/>
    </xf>
    <xf numFmtId="37" fontId="82" fillId="0" borderId="20" xfId="0" applyNumberFormat="1" applyFont="1" applyFill="1" applyBorder="1" applyProtection="1"/>
    <xf numFmtId="37" fontId="109" fillId="7" borderId="27" xfId="0" applyNumberFormat="1" applyFont="1" applyFill="1" applyBorder="1" applyProtection="1"/>
    <xf numFmtId="37" fontId="17" fillId="5" borderId="27" xfId="0" applyNumberFormat="1" applyFont="1" applyFill="1" applyBorder="1" applyProtection="1"/>
    <xf numFmtId="37" fontId="122" fillId="0" borderId="0" xfId="0" applyNumberFormat="1" applyFont="1" applyFill="1" applyBorder="1" applyProtection="1"/>
    <xf numFmtId="172" fontId="46" fillId="0" borderId="0" xfId="0" applyNumberFormat="1" applyFont="1"/>
    <xf numFmtId="172" fontId="124" fillId="14" borderId="0" xfId="0" applyNumberFormat="1" applyFont="1" applyFill="1" applyAlignment="1">
      <alignment horizontal="right"/>
    </xf>
    <xf numFmtId="37" fontId="16" fillId="0" borderId="0" xfId="0" applyNumberFormat="1" applyFont="1" applyAlignment="1">
      <alignment horizontal="left"/>
    </xf>
    <xf numFmtId="43" fontId="82" fillId="0" borderId="20" xfId="1" applyFont="1" applyFill="1" applyBorder="1" applyProtection="1"/>
    <xf numFmtId="172" fontId="46" fillId="0" borderId="32" xfId="0" applyNumberFormat="1" applyFont="1" applyFill="1" applyBorder="1" applyProtection="1"/>
    <xf numFmtId="37" fontId="46" fillId="0" borderId="0" xfId="1" applyNumberFormat="1" applyFont="1" applyFill="1" applyBorder="1" applyAlignment="1" applyProtection="1">
      <alignment wrapText="1"/>
      <protection locked="0"/>
    </xf>
    <xf numFmtId="10" fontId="87" fillId="14" borderId="10" xfId="0" applyNumberFormat="1" applyFont="1" applyFill="1" applyBorder="1" applyProtection="1">
      <protection locked="0"/>
    </xf>
    <xf numFmtId="3" fontId="87" fillId="14" borderId="0" xfId="0" applyNumberFormat="1" applyFont="1" applyFill="1" applyAlignment="1" applyProtection="1">
      <alignment horizontal="right"/>
      <protection locked="0"/>
    </xf>
    <xf numFmtId="37" fontId="82" fillId="14" borderId="13" xfId="0" applyNumberFormat="1" applyFont="1" applyFill="1" applyBorder="1" applyProtection="1"/>
    <xf numFmtId="164" fontId="10" fillId="0" borderId="0" xfId="0" applyFont="1" applyBorder="1" applyAlignment="1" applyProtection="1">
      <alignment horizontal="left" wrapText="1"/>
    </xf>
    <xf numFmtId="37" fontId="28" fillId="0" borderId="0" xfId="3" applyNumberFormat="1" applyFont="1" applyFill="1" applyBorder="1" applyAlignment="1" applyProtection="1">
      <alignment horizontal="center" vertical="center"/>
      <protection locked="0"/>
    </xf>
    <xf numFmtId="0" fontId="59" fillId="11" borderId="0" xfId="83" applyFont="1" applyFill="1" applyBorder="1" applyAlignment="1">
      <alignment horizontal="center"/>
    </xf>
    <xf numFmtId="164" fontId="131" fillId="6" borderId="24" xfId="0" applyFont="1" applyFill="1" applyBorder="1" applyAlignment="1" applyProtection="1">
      <alignment horizontal="left"/>
    </xf>
    <xf numFmtId="172" fontId="48" fillId="0" borderId="0" xfId="0" applyNumberFormat="1" applyFont="1"/>
    <xf numFmtId="37" fontId="136" fillId="0" borderId="0" xfId="0" applyNumberFormat="1" applyFont="1" applyAlignment="1">
      <alignment horizontal="left"/>
    </xf>
    <xf numFmtId="37" fontId="138" fillId="0" borderId="0" xfId="0" applyNumberFormat="1" applyFont="1" applyAlignment="1">
      <alignment horizontal="left"/>
    </xf>
    <xf numFmtId="37" fontId="81" fillId="0" borderId="0" xfId="0" applyNumberFormat="1" applyFont="1" applyAlignment="1">
      <alignment horizontal="left"/>
    </xf>
    <xf numFmtId="0" fontId="140" fillId="0" borderId="0" xfId="84"/>
    <xf numFmtId="0" fontId="141" fillId="0" borderId="0" xfId="84" applyFont="1"/>
    <xf numFmtId="7" fontId="142" fillId="12" borderId="34" xfId="84" applyNumberFormat="1" applyFont="1" applyFill="1" applyBorder="1" applyAlignment="1">
      <alignment horizontal="right" vertical="center"/>
    </xf>
    <xf numFmtId="7" fontId="143" fillId="0" borderId="34" xfId="84" applyNumberFormat="1" applyFont="1" applyBorder="1" applyAlignment="1">
      <alignment horizontal="right" vertical="center"/>
    </xf>
    <xf numFmtId="0" fontId="143" fillId="0" borderId="34" xfId="84" applyFont="1" applyBorder="1" applyAlignment="1">
      <alignment horizontal="left" vertical="center"/>
    </xf>
    <xf numFmtId="7" fontId="142" fillId="12" borderId="35" xfId="84" applyNumberFormat="1" applyFont="1" applyFill="1" applyBorder="1" applyAlignment="1">
      <alignment horizontal="right" vertical="center"/>
    </xf>
    <xf numFmtId="7" fontId="143" fillId="0" borderId="35" xfId="84" applyNumberFormat="1" applyFont="1" applyBorder="1" applyAlignment="1">
      <alignment horizontal="right" vertical="center"/>
    </xf>
    <xf numFmtId="0" fontId="143" fillId="0" borderId="35" xfId="84" applyFont="1" applyBorder="1" applyAlignment="1">
      <alignment horizontal="left" indent="1"/>
    </xf>
    <xf numFmtId="0" fontId="143" fillId="0" borderId="35" xfId="84" applyFont="1" applyBorder="1" applyAlignment="1">
      <alignment horizontal="left" indent="2"/>
    </xf>
    <xf numFmtId="7" fontId="57" fillId="12" borderId="0" xfId="84" applyNumberFormat="1" applyFont="1" applyFill="1" applyAlignment="1">
      <alignment horizontal="right" vertical="center"/>
    </xf>
    <xf numFmtId="7" fontId="144" fillId="0" borderId="0" xfId="84" applyNumberFormat="1" applyFont="1" applyAlignment="1">
      <alignment horizontal="right" vertical="center"/>
    </xf>
    <xf numFmtId="0" fontId="144" fillId="0" borderId="0" xfId="84" applyFont="1" applyAlignment="1">
      <alignment horizontal="left" indent="3"/>
    </xf>
    <xf numFmtId="7" fontId="145" fillId="0" borderId="0" xfId="84" applyNumberFormat="1" applyFont="1" applyAlignment="1">
      <alignment horizontal="right" vertical="center"/>
    </xf>
    <xf numFmtId="7" fontId="143" fillId="0" borderId="0" xfId="84" applyNumberFormat="1" applyFont="1" applyAlignment="1">
      <alignment horizontal="right" vertical="center"/>
    </xf>
    <xf numFmtId="0" fontId="143" fillId="0" borderId="0" xfId="84" applyFont="1" applyAlignment="1">
      <alignment horizontal="left" indent="2"/>
    </xf>
    <xf numFmtId="0" fontId="143" fillId="0" borderId="0" xfId="84" applyFont="1" applyAlignment="1">
      <alignment horizontal="left" indent="1"/>
    </xf>
    <xf numFmtId="0" fontId="143" fillId="0" borderId="0" xfId="84" applyFont="1" applyAlignment="1">
      <alignment horizontal="left" vertical="center"/>
    </xf>
    <xf numFmtId="0" fontId="143" fillId="0" borderId="35" xfId="84" applyFont="1" applyBorder="1" applyAlignment="1">
      <alignment horizontal="left" indent="3"/>
    </xf>
    <xf numFmtId="0" fontId="144" fillId="0" borderId="0" xfId="84" applyFont="1" applyAlignment="1">
      <alignment horizontal="left" indent="4"/>
    </xf>
    <xf numFmtId="0" fontId="143" fillId="0" borderId="0" xfId="84" applyFont="1" applyAlignment="1">
      <alignment horizontal="left" indent="3"/>
    </xf>
    <xf numFmtId="0" fontId="143" fillId="0" borderId="35" xfId="84" applyFont="1" applyBorder="1" applyAlignment="1">
      <alignment horizontal="left" indent="4"/>
    </xf>
    <xf numFmtId="0" fontId="144" fillId="0" borderId="0" xfId="84" applyFont="1" applyAlignment="1">
      <alignment horizontal="left" indent="5"/>
    </xf>
    <xf numFmtId="0" fontId="143" fillId="0" borderId="0" xfId="84" applyFont="1" applyAlignment="1">
      <alignment horizontal="left" indent="4"/>
    </xf>
    <xf numFmtId="0" fontId="143" fillId="0" borderId="34" xfId="84" applyFont="1" applyBorder="1" applyAlignment="1">
      <alignment horizontal="left" indent="1"/>
    </xf>
    <xf numFmtId="7" fontId="142" fillId="12" borderId="0" xfId="84" applyNumberFormat="1" applyFont="1" applyFill="1" applyAlignment="1">
      <alignment horizontal="right" vertical="center"/>
    </xf>
    <xf numFmtId="0" fontId="144" fillId="0" borderId="0" xfId="84" applyFont="1" applyAlignment="1">
      <alignment horizontal="left" indent="2"/>
    </xf>
    <xf numFmtId="0" fontId="146" fillId="12" borderId="3" xfId="84" applyFont="1" applyFill="1" applyBorder="1" applyAlignment="1">
      <alignment horizontal="right"/>
    </xf>
    <xf numFmtId="0" fontId="147" fillId="12" borderId="3" xfId="84" applyFont="1" applyFill="1" applyBorder="1" applyAlignment="1">
      <alignment horizontal="left"/>
    </xf>
    <xf numFmtId="0" fontId="147" fillId="12" borderId="3" xfId="84" applyFont="1" applyFill="1" applyBorder="1" applyAlignment="1">
      <alignment horizontal="right"/>
    </xf>
    <xf numFmtId="43" fontId="32" fillId="0" borderId="13" xfId="1" applyFont="1" applyFill="1" applyBorder="1" applyProtection="1">
      <protection locked="0"/>
    </xf>
    <xf numFmtId="43" fontId="48" fillId="0" borderId="17" xfId="1" applyFont="1" applyFill="1" applyBorder="1" applyProtection="1"/>
    <xf numFmtId="164" fontId="18" fillId="7" borderId="13" xfId="0" applyFont="1" applyFill="1" applyBorder="1" applyAlignment="1" applyProtection="1">
      <alignment horizontal="center" wrapText="1"/>
    </xf>
    <xf numFmtId="165" fontId="18" fillId="19" borderId="36" xfId="0" applyNumberFormat="1" applyFont="1" applyFill="1" applyBorder="1" applyAlignment="1" applyProtection="1">
      <alignment horizontal="center"/>
      <protection locked="0"/>
    </xf>
    <xf numFmtId="165" fontId="18" fillId="19" borderId="9" xfId="0" applyNumberFormat="1" applyFont="1" applyFill="1" applyBorder="1" applyAlignment="1" applyProtection="1">
      <alignment horizontal="center"/>
      <protection locked="0"/>
    </xf>
    <xf numFmtId="37" fontId="10" fillId="15" borderId="3" xfId="0" applyNumberFormat="1" applyFont="1" applyFill="1" applyBorder="1" applyProtection="1">
      <protection locked="0"/>
    </xf>
    <xf numFmtId="37" fontId="10" fillId="15" borderId="13" xfId="0" applyNumberFormat="1" applyFont="1" applyFill="1" applyBorder="1" applyProtection="1">
      <protection locked="0"/>
    </xf>
    <xf numFmtId="37" fontId="10" fillId="14" borderId="8" xfId="0" applyNumberFormat="1" applyFont="1" applyFill="1" applyBorder="1" applyAlignment="1" applyProtection="1">
      <alignment horizontal="center" wrapText="1"/>
    </xf>
    <xf numFmtId="5" fontId="10" fillId="14" borderId="15" xfId="0" applyNumberFormat="1" applyFont="1" applyFill="1" applyBorder="1" applyProtection="1"/>
    <xf numFmtId="5" fontId="83" fillId="14" borderId="15" xfId="0" applyNumberFormat="1" applyFont="1" applyFill="1" applyBorder="1" applyProtection="1"/>
    <xf numFmtId="3" fontId="16" fillId="20" borderId="14" xfId="0" applyNumberFormat="1" applyFont="1" applyFill="1" applyBorder="1" applyAlignment="1" applyProtection="1">
      <alignment horizontal="right"/>
    </xf>
    <xf numFmtId="165" fontId="21" fillId="4" borderId="7" xfId="0" applyNumberFormat="1" applyFont="1" applyFill="1" applyBorder="1" applyAlignment="1" applyProtection="1">
      <alignment horizontal="center"/>
      <protection locked="0"/>
    </xf>
    <xf numFmtId="37" fontId="32" fillId="0" borderId="3" xfId="0" applyNumberFormat="1" applyFont="1" applyFill="1" applyBorder="1" applyAlignment="1" applyProtection="1">
      <alignment horizontal="right"/>
      <protection locked="0"/>
    </xf>
    <xf numFmtId="43" fontId="32" fillId="0" borderId="3" xfId="1" applyFont="1" applyFill="1" applyBorder="1" applyAlignment="1" applyProtection="1">
      <alignment horizontal="right"/>
      <protection locked="0"/>
    </xf>
    <xf numFmtId="171" fontId="75" fillId="21" borderId="3" xfId="3" applyNumberFormat="1" applyFont="1" applyFill="1" applyBorder="1" applyProtection="1">
      <protection locked="0"/>
    </xf>
    <xf numFmtId="171" fontId="46" fillId="0" borderId="0" xfId="3" applyNumberFormat="1" applyFont="1" applyFill="1" applyBorder="1" applyProtection="1">
      <protection locked="0"/>
    </xf>
    <xf numFmtId="164" fontId="10" fillId="0" borderId="0" xfId="0" applyFont="1" applyBorder="1" applyAlignment="1" applyProtection="1">
      <alignment horizontal="left" wrapText="1"/>
    </xf>
    <xf numFmtId="0" fontId="150" fillId="0" borderId="0" xfId="86"/>
    <xf numFmtId="7" fontId="151" fillId="0" borderId="35" xfId="86" applyNumberFormat="1" applyFont="1" applyBorder="1" applyAlignment="1">
      <alignment horizontal="right" vertical="center"/>
    </xf>
    <xf numFmtId="0" fontId="151" fillId="0" borderId="35" xfId="86" applyFont="1" applyBorder="1" applyAlignment="1">
      <alignment horizontal="left" indent="1"/>
    </xf>
    <xf numFmtId="0" fontId="151" fillId="0" borderId="35" xfId="86" applyFont="1" applyBorder="1" applyAlignment="1">
      <alignment horizontal="left" indent="2"/>
    </xf>
    <xf numFmtId="7" fontId="152" fillId="0" borderId="0" xfId="86" applyNumberFormat="1" applyFont="1" applyAlignment="1">
      <alignment horizontal="right" vertical="center"/>
    </xf>
    <xf numFmtId="0" fontId="152" fillId="0" borderId="0" xfId="86" applyFont="1" applyAlignment="1">
      <alignment horizontal="left" indent="3"/>
    </xf>
    <xf numFmtId="7" fontId="151" fillId="0" borderId="0" xfId="86" applyNumberFormat="1" applyFont="1" applyAlignment="1">
      <alignment horizontal="right" vertical="center"/>
    </xf>
    <xf numFmtId="0" fontId="151" fillId="0" borderId="0" xfId="86" applyFont="1" applyAlignment="1">
      <alignment horizontal="left" indent="2"/>
    </xf>
    <xf numFmtId="0" fontId="151" fillId="0" borderId="0" xfId="86" applyFont="1" applyAlignment="1">
      <alignment horizontal="left" indent="1"/>
    </xf>
    <xf numFmtId="0" fontId="151" fillId="0" borderId="0" xfId="86" applyFont="1" applyAlignment="1">
      <alignment horizontal="left" vertical="center"/>
    </xf>
    <xf numFmtId="0" fontId="151" fillId="0" borderId="35" xfId="86" applyFont="1" applyBorder="1" applyAlignment="1">
      <alignment horizontal="left" indent="3"/>
    </xf>
    <xf numFmtId="0" fontId="152" fillId="0" borderId="0" xfId="86" applyFont="1" applyAlignment="1">
      <alignment horizontal="left" indent="4"/>
    </xf>
    <xf numFmtId="0" fontId="151" fillId="0" borderId="0" xfId="86" applyFont="1" applyAlignment="1">
      <alignment horizontal="left" indent="3"/>
    </xf>
    <xf numFmtId="0" fontId="151" fillId="0" borderId="35" xfId="86" applyFont="1" applyBorder="1" applyAlignment="1">
      <alignment horizontal="left" indent="4"/>
    </xf>
    <xf numFmtId="0" fontId="152" fillId="0" borderId="0" xfId="86" applyFont="1" applyAlignment="1">
      <alignment horizontal="left" indent="5"/>
    </xf>
    <xf numFmtId="0" fontId="151" fillId="0" borderId="0" xfId="86" applyFont="1" applyAlignment="1">
      <alignment horizontal="left" indent="4"/>
    </xf>
    <xf numFmtId="0" fontId="152" fillId="0" borderId="0" xfId="86" applyFont="1" applyAlignment="1">
      <alignment horizontal="left" indent="2"/>
    </xf>
    <xf numFmtId="0" fontId="146" fillId="12" borderId="3" xfId="84" applyFont="1" applyFill="1" applyBorder="1" applyAlignment="1">
      <alignment horizontal="left"/>
    </xf>
    <xf numFmtId="0" fontId="36" fillId="0" borderId="0" xfId="86" applyFont="1"/>
    <xf numFmtId="0" fontId="155" fillId="12" borderId="3" xfId="84" applyFont="1" applyFill="1" applyBorder="1" applyAlignment="1">
      <alignment horizontal="right"/>
    </xf>
    <xf numFmtId="7" fontId="156" fillId="0" borderId="0" xfId="86" applyNumberFormat="1" applyFont="1" applyAlignment="1">
      <alignment horizontal="right" vertical="center"/>
    </xf>
    <xf numFmtId="0" fontId="158" fillId="0" borderId="0" xfId="86" applyFont="1"/>
    <xf numFmtId="7" fontId="157" fillId="12" borderId="0" xfId="86" applyNumberFormat="1" applyFont="1" applyFill="1" applyAlignment="1">
      <alignment horizontal="right" vertical="center"/>
    </xf>
    <xf numFmtId="7" fontId="156" fillId="12" borderId="35" xfId="86" applyNumberFormat="1" applyFont="1" applyFill="1" applyBorder="1" applyAlignment="1">
      <alignment horizontal="right" vertical="center"/>
    </xf>
    <xf numFmtId="0" fontId="151" fillId="0" borderId="0" xfId="86" applyFont="1" applyBorder="1" applyAlignment="1">
      <alignment horizontal="left" indent="1"/>
    </xf>
    <xf numFmtId="7" fontId="151" fillId="0" borderId="0" xfId="86" applyNumberFormat="1" applyFont="1" applyBorder="1" applyAlignment="1">
      <alignment horizontal="right" vertical="center"/>
    </xf>
    <xf numFmtId="7" fontId="156" fillId="12" borderId="0" xfId="86" applyNumberFormat="1" applyFont="1" applyFill="1" applyBorder="1" applyAlignment="1">
      <alignment horizontal="right" vertical="center"/>
    </xf>
    <xf numFmtId="0" fontId="151" fillId="0" borderId="37" xfId="86" applyFont="1" applyBorder="1" applyAlignment="1">
      <alignment horizontal="left" indent="1"/>
    </xf>
    <xf numFmtId="7" fontId="151" fillId="0" borderId="37" xfId="86" applyNumberFormat="1" applyFont="1" applyBorder="1" applyAlignment="1">
      <alignment horizontal="right" vertical="center"/>
    </xf>
    <xf numFmtId="7" fontId="156" fillId="12" borderId="37" xfId="86" applyNumberFormat="1" applyFont="1" applyFill="1" applyBorder="1" applyAlignment="1">
      <alignment horizontal="right" vertical="center"/>
    </xf>
    <xf numFmtId="7" fontId="156" fillId="14" borderId="35" xfId="86" applyNumberFormat="1" applyFont="1" applyFill="1" applyBorder="1" applyAlignment="1">
      <alignment horizontal="right" vertical="center"/>
    </xf>
    <xf numFmtId="0" fontId="151" fillId="0" borderId="0" xfId="86" applyFont="1" applyBorder="1" applyAlignment="1">
      <alignment horizontal="left" vertical="center"/>
    </xf>
    <xf numFmtId="0" fontId="142" fillId="0" borderId="37" xfId="86" applyFont="1" applyBorder="1" applyAlignment="1">
      <alignment horizontal="left" vertical="center"/>
    </xf>
    <xf numFmtId="7" fontId="142" fillId="0" borderId="37" xfId="86" applyNumberFormat="1" applyFont="1" applyBorder="1" applyAlignment="1">
      <alignment horizontal="right" vertical="center"/>
    </xf>
    <xf numFmtId="0" fontId="142" fillId="0" borderId="0" xfId="86" applyFont="1" applyBorder="1" applyAlignment="1">
      <alignment horizontal="left" vertical="center"/>
    </xf>
    <xf numFmtId="7" fontId="142" fillId="0" borderId="0" xfId="86" applyNumberFormat="1" applyFont="1" applyBorder="1" applyAlignment="1">
      <alignment horizontal="right" vertical="center"/>
    </xf>
    <xf numFmtId="0" fontId="142" fillId="0" borderId="38" xfId="86" applyFont="1" applyBorder="1" applyAlignment="1">
      <alignment horizontal="left" vertical="center"/>
    </xf>
    <xf numFmtId="7" fontId="142" fillId="0" borderId="38" xfId="86" applyNumberFormat="1" applyFont="1" applyBorder="1" applyAlignment="1">
      <alignment horizontal="right" vertical="center"/>
    </xf>
    <xf numFmtId="7" fontId="156" fillId="12" borderId="38" xfId="86" applyNumberFormat="1" applyFont="1" applyFill="1" applyBorder="1" applyAlignment="1">
      <alignment horizontal="right" vertical="center"/>
    </xf>
    <xf numFmtId="0" fontId="145" fillId="14" borderId="35" xfId="86" applyFont="1" applyFill="1" applyBorder="1" applyAlignment="1">
      <alignment horizontal="left" indent="3"/>
    </xf>
    <xf numFmtId="7" fontId="145" fillId="14" borderId="35" xfId="86" applyNumberFormat="1" applyFont="1" applyFill="1" applyBorder="1" applyAlignment="1">
      <alignment horizontal="right" vertical="center"/>
    </xf>
    <xf numFmtId="0" fontId="145" fillId="14" borderId="35" xfId="86" applyFont="1" applyFill="1" applyBorder="1" applyAlignment="1">
      <alignment horizontal="left" indent="1"/>
    </xf>
    <xf numFmtId="172" fontId="48" fillId="22" borderId="17" xfId="0" applyNumberFormat="1" applyFont="1" applyFill="1" applyBorder="1" applyProtection="1"/>
    <xf numFmtId="37" fontId="18" fillId="22" borderId="13" xfId="0" applyNumberFormat="1" applyFont="1" applyFill="1" applyBorder="1" applyProtection="1"/>
    <xf numFmtId="172" fontId="48" fillId="22" borderId="19" xfId="0" applyNumberFormat="1" applyFont="1" applyFill="1" applyBorder="1" applyProtection="1"/>
    <xf numFmtId="172" fontId="48" fillId="22" borderId="18" xfId="0" applyNumberFormat="1" applyFont="1" applyFill="1" applyBorder="1"/>
    <xf numFmtId="37" fontId="109" fillId="22" borderId="13" xfId="0" applyNumberFormat="1" applyFont="1" applyFill="1" applyBorder="1" applyProtection="1"/>
    <xf numFmtId="37" fontId="163" fillId="0" borderId="0" xfId="0" applyNumberFormat="1" applyFont="1" applyBorder="1" applyAlignment="1" applyProtection="1">
      <alignment horizontal="right"/>
    </xf>
    <xf numFmtId="171" fontId="164" fillId="0" borderId="0" xfId="1" applyNumberFormat="1" applyFont="1" applyBorder="1" applyAlignment="1" applyProtection="1">
      <alignment wrapText="1"/>
      <protection locked="0"/>
    </xf>
    <xf numFmtId="37" fontId="163" fillId="0" borderId="0" xfId="0" applyNumberFormat="1" applyFont="1" applyBorder="1" applyProtection="1"/>
    <xf numFmtId="164" fontId="163" fillId="0" borderId="0" xfId="0" applyFont="1" applyFill="1" applyBorder="1" applyAlignment="1" applyProtection="1">
      <alignment wrapText="1"/>
      <protection locked="0"/>
    </xf>
    <xf numFmtId="164" fontId="165" fillId="24" borderId="39" xfId="0" applyFont="1" applyFill="1" applyBorder="1" applyProtection="1">
      <protection locked="0"/>
    </xf>
    <xf numFmtId="37" fontId="165" fillId="24" borderId="22" xfId="0" applyNumberFormat="1" applyFont="1" applyFill="1" applyBorder="1" applyAlignment="1" applyProtection="1">
      <alignment horizontal="right"/>
    </xf>
    <xf numFmtId="5" fontId="9" fillId="24" borderId="40" xfId="0" applyNumberFormat="1" applyFont="1" applyFill="1" applyBorder="1" applyProtection="1"/>
    <xf numFmtId="37" fontId="32" fillId="20" borderId="13" xfId="0" applyNumberFormat="1" applyFont="1" applyFill="1" applyBorder="1" applyProtection="1">
      <protection locked="0"/>
    </xf>
    <xf numFmtId="3" fontId="16" fillId="9" borderId="14" xfId="0" applyNumberFormat="1" applyFont="1" applyFill="1" applyBorder="1" applyProtection="1"/>
    <xf numFmtId="176" fontId="117" fillId="9" borderId="0" xfId="0" applyNumberFormat="1" applyFont="1" applyFill="1" applyBorder="1" applyAlignment="1">
      <alignment horizontal="right"/>
    </xf>
    <xf numFmtId="171" fontId="46" fillId="9" borderId="0" xfId="3" applyNumberFormat="1" applyFont="1" applyFill="1" applyBorder="1" applyProtection="1">
      <protection locked="0"/>
    </xf>
    <xf numFmtId="37" fontId="46" fillId="9" borderId="16" xfId="1" applyNumberFormat="1" applyFont="1" applyFill="1" applyBorder="1" applyAlignment="1" applyProtection="1">
      <alignment wrapText="1"/>
      <protection locked="0"/>
    </xf>
    <xf numFmtId="37" fontId="32" fillId="20" borderId="3" xfId="0" applyNumberFormat="1" applyFont="1" applyFill="1" applyBorder="1" applyAlignment="1" applyProtection="1">
      <alignment horizontal="right"/>
      <protection locked="0"/>
    </xf>
    <xf numFmtId="172" fontId="48" fillId="20" borderId="17" xfId="0" applyNumberFormat="1" applyFont="1" applyFill="1" applyBorder="1" applyProtection="1"/>
    <xf numFmtId="37" fontId="83" fillId="20" borderId="27" xfId="0" applyNumberFormat="1" applyFont="1" applyFill="1" applyBorder="1" applyProtection="1"/>
    <xf numFmtId="37" fontId="65" fillId="9" borderId="0" xfId="0" applyNumberFormat="1" applyFont="1" applyFill="1" applyBorder="1" applyAlignment="1" applyProtection="1">
      <alignment horizontal="left"/>
    </xf>
    <xf numFmtId="37" fontId="82" fillId="20" borderId="13" xfId="0" applyNumberFormat="1" applyFont="1" applyFill="1" applyBorder="1" applyProtection="1"/>
    <xf numFmtId="164" fontId="16" fillId="9" borderId="10" xfId="0" applyFont="1" applyFill="1" applyBorder="1" applyProtection="1"/>
    <xf numFmtId="164" fontId="10" fillId="0" borderId="0" xfId="0" applyFont="1" applyBorder="1" applyAlignment="1" applyProtection="1">
      <alignment horizontal="left" wrapText="1"/>
    </xf>
    <xf numFmtId="0" fontId="161" fillId="11" borderId="0" xfId="83" applyFont="1" applyFill="1" applyBorder="1" applyAlignment="1">
      <alignment horizontal="center"/>
    </xf>
    <xf numFmtId="165" fontId="69" fillId="4" borderId="3" xfId="0" applyNumberFormat="1" applyFont="1" applyFill="1" applyBorder="1" applyAlignment="1" applyProtection="1">
      <alignment horizontal="center"/>
      <protection locked="0"/>
    </xf>
    <xf numFmtId="164" fontId="162" fillId="0" borderId="3" xfId="0" applyNumberFormat="1" applyFont="1" applyFill="1" applyBorder="1" applyAlignment="1" applyProtection="1">
      <alignment horizontal="center" vertical="center"/>
      <protection locked="0"/>
    </xf>
    <xf numFmtId="37" fontId="159" fillId="20" borderId="3" xfId="0" applyNumberFormat="1" applyFont="1" applyFill="1" applyBorder="1" applyAlignment="1" applyProtection="1">
      <alignment horizontal="right"/>
      <protection locked="0"/>
    </xf>
    <xf numFmtId="37" fontId="159" fillId="0" borderId="3" xfId="0" applyNumberFormat="1" applyFont="1" applyFill="1" applyBorder="1" applyAlignment="1" applyProtection="1">
      <alignment horizontal="right"/>
      <protection locked="0"/>
    </xf>
    <xf numFmtId="43" fontId="159" fillId="0" borderId="3" xfId="1" applyFont="1" applyFill="1" applyBorder="1" applyAlignment="1" applyProtection="1">
      <alignment horizontal="right"/>
      <protection locked="0"/>
    </xf>
    <xf numFmtId="164" fontId="69" fillId="9" borderId="3" xfId="0" applyNumberFormat="1" applyFont="1" applyFill="1" applyBorder="1" applyAlignment="1" applyProtection="1">
      <alignment horizontal="center" vertical="center"/>
      <protection locked="0"/>
    </xf>
    <xf numFmtId="37" fontId="65" fillId="9" borderId="3" xfId="0" applyNumberFormat="1" applyFont="1" applyFill="1" applyBorder="1" applyAlignment="1" applyProtection="1">
      <alignment horizontal="right"/>
      <protection locked="0"/>
    </xf>
    <xf numFmtId="43" fontId="65" fillId="9" borderId="3" xfId="1" applyFont="1" applyFill="1" applyBorder="1" applyAlignment="1" applyProtection="1">
      <alignment horizontal="right"/>
      <protection locked="0"/>
    </xf>
    <xf numFmtId="37" fontId="65" fillId="9" borderId="13" xfId="0" applyNumberFormat="1" applyFont="1" applyFill="1" applyBorder="1" applyProtection="1">
      <protection locked="0"/>
    </xf>
    <xf numFmtId="172" fontId="79" fillId="9" borderId="17" xfId="0" applyNumberFormat="1" applyFont="1" applyFill="1" applyBorder="1" applyProtection="1"/>
    <xf numFmtId="43" fontId="79" fillId="9" borderId="17" xfId="1" applyFont="1" applyFill="1" applyBorder="1" applyProtection="1"/>
    <xf numFmtId="43" fontId="65" fillId="9" borderId="13" xfId="1" applyFont="1" applyFill="1" applyBorder="1" applyProtection="1">
      <protection locked="0"/>
    </xf>
    <xf numFmtId="164" fontId="166" fillId="0" borderId="3" xfId="0" applyNumberFormat="1" applyFont="1" applyFill="1" applyBorder="1" applyAlignment="1" applyProtection="1">
      <alignment horizontal="center" vertical="center"/>
      <protection locked="0"/>
    </xf>
    <xf numFmtId="165" fontId="166" fillId="4" borderId="3" xfId="0" applyNumberFormat="1" applyFont="1" applyFill="1" applyBorder="1" applyAlignment="1" applyProtection="1">
      <alignment horizontal="center"/>
      <protection locked="0"/>
    </xf>
    <xf numFmtId="164" fontId="10" fillId="0" borderId="0" xfId="0" applyFont="1" applyBorder="1" applyAlignment="1" applyProtection="1">
      <alignment horizontal="left" wrapText="1"/>
    </xf>
    <xf numFmtId="167" fontId="16" fillId="0" borderId="0" xfId="0" applyNumberFormat="1" applyFont="1" applyFill="1" applyBorder="1" applyAlignment="1" applyProtection="1">
      <alignment horizontal="left"/>
    </xf>
    <xf numFmtId="37" fontId="65" fillId="9" borderId="3" xfId="0" applyNumberFormat="1" applyFont="1" applyFill="1" applyBorder="1" applyProtection="1">
      <protection locked="0"/>
    </xf>
    <xf numFmtId="37" fontId="32" fillId="0" borderId="0" xfId="0" applyNumberFormat="1" applyFont="1" applyFill="1" applyBorder="1" applyProtection="1">
      <protection locked="0"/>
    </xf>
    <xf numFmtId="43" fontId="32" fillId="0" borderId="0" xfId="1" applyFont="1" applyFill="1" applyBorder="1" applyProtection="1">
      <protection locked="0"/>
    </xf>
    <xf numFmtId="171" fontId="65" fillId="9" borderId="13" xfId="1" applyNumberFormat="1" applyFont="1" applyFill="1" applyBorder="1" applyProtection="1">
      <protection locked="0"/>
    </xf>
    <xf numFmtId="37" fontId="65" fillId="0" borderId="3" xfId="0" applyNumberFormat="1" applyFont="1" applyFill="1" applyBorder="1" applyProtection="1">
      <protection locked="0"/>
    </xf>
    <xf numFmtId="164" fontId="167" fillId="7" borderId="3" xfId="0" applyFont="1" applyFill="1" applyBorder="1" applyAlignment="1" applyProtection="1">
      <alignment horizontal="center" wrapText="1"/>
    </xf>
    <xf numFmtId="171" fontId="65" fillId="7" borderId="3" xfId="3" applyNumberFormat="1" applyFont="1" applyFill="1" applyBorder="1" applyProtection="1"/>
    <xf numFmtId="171" fontId="46" fillId="12" borderId="0" xfId="3" applyNumberFormat="1" applyFont="1" applyFill="1" applyBorder="1" applyProtection="1">
      <protection locked="0"/>
    </xf>
    <xf numFmtId="37" fontId="65" fillId="18" borderId="3" xfId="0" applyNumberFormat="1" applyFont="1" applyFill="1" applyBorder="1" applyAlignment="1" applyProtection="1">
      <alignment horizontal="right"/>
      <protection locked="0"/>
    </xf>
    <xf numFmtId="43" fontId="65" fillId="9" borderId="3" xfId="1" applyFont="1" applyFill="1" applyBorder="1" applyProtection="1">
      <protection locked="0"/>
    </xf>
    <xf numFmtId="43" fontId="65" fillId="0" borderId="3" xfId="1" applyFont="1" applyFill="1" applyBorder="1" applyProtection="1">
      <protection locked="0"/>
    </xf>
    <xf numFmtId="5" fontId="10" fillId="9" borderId="3" xfId="0" applyNumberFormat="1" applyFont="1" applyFill="1" applyBorder="1" applyProtection="1"/>
    <xf numFmtId="37" fontId="65" fillId="9" borderId="15" xfId="0" applyNumberFormat="1" applyFont="1" applyFill="1" applyBorder="1" applyProtection="1">
      <protection locked="0"/>
    </xf>
    <xf numFmtId="171" fontId="10" fillId="0" borderId="15" xfId="1" applyNumberFormat="1" applyFont="1" applyFill="1" applyBorder="1" applyAlignment="1" applyProtection="1">
      <alignment wrapText="1"/>
      <protection locked="0"/>
    </xf>
    <xf numFmtId="5" fontId="10" fillId="0" borderId="3" xfId="0" applyNumberFormat="1" applyFont="1" applyFill="1" applyBorder="1" applyProtection="1"/>
    <xf numFmtId="171" fontId="169" fillId="0" borderId="0" xfId="1" applyNumberFormat="1" applyFont="1" applyBorder="1" applyAlignment="1" applyProtection="1">
      <alignment wrapText="1"/>
      <protection locked="0"/>
    </xf>
    <xf numFmtId="37" fontId="170" fillId="0" borderId="3" xfId="0" applyNumberFormat="1" applyFont="1" applyFill="1" applyBorder="1" applyAlignment="1" applyProtection="1">
      <alignment horizontal="right"/>
      <protection locked="0"/>
    </xf>
    <xf numFmtId="171" fontId="16" fillId="7" borderId="15" xfId="0" applyNumberFormat="1" applyFont="1" applyFill="1" applyBorder="1" applyProtection="1"/>
    <xf numFmtId="5" fontId="10" fillId="25" borderId="15" xfId="0" applyNumberFormat="1" applyFont="1" applyFill="1" applyBorder="1" applyProtection="1"/>
    <xf numFmtId="37" fontId="16" fillId="25" borderId="0" xfId="0" applyNumberFormat="1" applyFont="1" applyFill="1" applyBorder="1" applyAlignment="1" applyProtection="1">
      <alignment horizontal="left"/>
    </xf>
    <xf numFmtId="37" fontId="16" fillId="25" borderId="0" xfId="0" applyNumberFormat="1" applyFont="1" applyFill="1" applyBorder="1" applyAlignment="1" applyProtection="1">
      <alignment horizontal="center"/>
    </xf>
    <xf numFmtId="37" fontId="16" fillId="25" borderId="0" xfId="0" applyNumberFormat="1" applyFont="1" applyFill="1" applyBorder="1" applyAlignment="1" applyProtection="1">
      <alignment horizontal="right"/>
    </xf>
    <xf numFmtId="171" fontId="65" fillId="25" borderId="3" xfId="1" applyNumberFormat="1" applyFont="1" applyFill="1" applyBorder="1" applyProtection="1">
      <protection locked="0"/>
    </xf>
    <xf numFmtId="169" fontId="45" fillId="0" borderId="0" xfId="1" applyNumberFormat="1" applyFont="1" applyFill="1" applyBorder="1" applyAlignment="1" applyProtection="1">
      <alignment horizontal="right"/>
    </xf>
    <xf numFmtId="37" fontId="10" fillId="0" borderId="37" xfId="0" applyNumberFormat="1" applyFont="1" applyBorder="1" applyProtection="1"/>
    <xf numFmtId="37" fontId="16" fillId="12" borderId="0" xfId="0" applyNumberFormat="1" applyFont="1" applyFill="1" applyAlignment="1">
      <alignment horizontal="left"/>
    </xf>
    <xf numFmtId="37" fontId="65" fillId="12" borderId="0" xfId="0" applyNumberFormat="1" applyFont="1" applyFill="1" applyProtection="1">
      <protection locked="0"/>
    </xf>
    <xf numFmtId="171" fontId="10" fillId="0" borderId="0" xfId="1" applyNumberFormat="1" applyFont="1" applyProtection="1">
      <protection locked="0"/>
    </xf>
    <xf numFmtId="171" fontId="10" fillId="0" borderId="0" xfId="1" applyNumberFormat="1" applyFont="1" applyBorder="1" applyProtection="1">
      <protection locked="0"/>
    </xf>
    <xf numFmtId="171" fontId="10" fillId="25" borderId="15" xfId="0" applyNumberFormat="1" applyFont="1" applyFill="1" applyBorder="1" applyProtection="1"/>
    <xf numFmtId="171" fontId="10" fillId="12" borderId="15" xfId="0" applyNumberFormat="1" applyFont="1" applyFill="1" applyBorder="1" applyProtection="1"/>
    <xf numFmtId="164" fontId="165" fillId="12" borderId="0" xfId="0" applyFont="1" applyFill="1" applyBorder="1" applyAlignment="1" applyProtection="1">
      <alignment wrapText="1"/>
      <protection locked="0"/>
    </xf>
    <xf numFmtId="165" fontId="9" fillId="0" borderId="0" xfId="0" applyNumberFormat="1" applyFont="1"/>
    <xf numFmtId="37" fontId="10" fillId="0" borderId="0" xfId="0" applyNumberFormat="1" applyFont="1"/>
    <xf numFmtId="164" fontId="10" fillId="0" borderId="0" xfId="0" applyFont="1"/>
    <xf numFmtId="165" fontId="120" fillId="0" borderId="0" xfId="0" applyNumberFormat="1" applyFont="1"/>
    <xf numFmtId="165" fontId="13" fillId="0" borderId="0" xfId="0" applyNumberFormat="1" applyFont="1"/>
    <xf numFmtId="164" fontId="20" fillId="0" borderId="0" xfId="0" applyFont="1" applyAlignment="1">
      <alignment horizontal="right"/>
    </xf>
    <xf numFmtId="164" fontId="162" fillId="12" borderId="3" xfId="0" applyFont="1" applyFill="1" applyBorder="1" applyAlignment="1" applyProtection="1">
      <alignment horizontal="center"/>
      <protection locked="0"/>
    </xf>
    <xf numFmtId="164" fontId="16" fillId="0" borderId="0" xfId="0" applyFont="1" applyAlignment="1" applyProtection="1">
      <alignment horizontal="right"/>
      <protection locked="0"/>
    </xf>
    <xf numFmtId="164" fontId="33" fillId="0" borderId="0" xfId="0" applyFont="1" applyAlignment="1">
      <alignment horizontal="left"/>
    </xf>
    <xf numFmtId="173" fontId="65" fillId="9" borderId="0" xfId="0" applyNumberFormat="1" applyFont="1" applyFill="1" applyAlignment="1" applyProtection="1">
      <alignment horizontal="center" vertical="center" wrapText="1"/>
      <protection locked="0"/>
    </xf>
    <xf numFmtId="164" fontId="69" fillId="9" borderId="3" xfId="0" applyFont="1" applyFill="1" applyBorder="1" applyAlignment="1" applyProtection="1">
      <alignment horizontal="center" vertical="center"/>
      <protection locked="0"/>
    </xf>
    <xf numFmtId="164" fontId="162" fillId="0" borderId="3" xfId="0" applyFont="1" applyBorder="1" applyAlignment="1" applyProtection="1">
      <alignment horizontal="center" vertical="center"/>
      <protection locked="0"/>
    </xf>
    <xf numFmtId="37" fontId="44" fillId="0" borderId="3" xfId="5" applyNumberFormat="1" applyFont="1" applyBorder="1" applyAlignment="1">
      <alignment horizontal="center" wrapText="1"/>
    </xf>
    <xf numFmtId="164" fontId="16" fillId="0" borderId="0" xfId="0" applyFont="1" applyAlignment="1">
      <alignment horizontal="center"/>
    </xf>
    <xf numFmtId="164" fontId="18" fillId="7" borderId="13" xfId="0" applyFont="1" applyFill="1" applyBorder="1" applyAlignment="1">
      <alignment horizontal="center" wrapText="1"/>
    </xf>
    <xf numFmtId="37" fontId="65" fillId="0" borderId="0" xfId="0" applyNumberFormat="1" applyFont="1" applyAlignment="1">
      <alignment horizontal="left"/>
    </xf>
    <xf numFmtId="37" fontId="159" fillId="0" borderId="3" xfId="0" applyNumberFormat="1" applyFont="1" applyBorder="1" applyAlignment="1" applyProtection="1">
      <alignment horizontal="right"/>
      <protection locked="0"/>
    </xf>
    <xf numFmtId="37" fontId="16" fillId="0" borderId="0" xfId="0" applyNumberFormat="1" applyFont="1" applyAlignment="1" applyProtection="1">
      <alignment horizontal="right"/>
      <protection locked="0"/>
    </xf>
    <xf numFmtId="164" fontId="16" fillId="0" borderId="0" xfId="0" applyFont="1"/>
    <xf numFmtId="164" fontId="16" fillId="9" borderId="0" xfId="0" applyFont="1" applyFill="1"/>
    <xf numFmtId="37" fontId="159" fillId="0" borderId="0" xfId="0" applyNumberFormat="1" applyFont="1" applyProtection="1">
      <protection locked="0"/>
    </xf>
    <xf numFmtId="37" fontId="16" fillId="0" borderId="0" xfId="0" applyNumberFormat="1" applyFont="1" applyAlignment="1">
      <alignment horizontal="right"/>
    </xf>
    <xf numFmtId="3" fontId="16" fillId="9" borderId="14" xfId="0" applyNumberFormat="1" applyFont="1" applyFill="1" applyBorder="1"/>
    <xf numFmtId="3" fontId="16" fillId="9" borderId="14" xfId="0" applyNumberFormat="1" applyFont="1" applyFill="1" applyBorder="1" applyAlignment="1">
      <alignment horizontal="right"/>
    </xf>
    <xf numFmtId="3" fontId="16" fillId="20" borderId="14" xfId="0" applyNumberFormat="1" applyFont="1" applyFill="1" applyBorder="1" applyAlignment="1">
      <alignment horizontal="right"/>
    </xf>
    <xf numFmtId="3" fontId="16" fillId="0" borderId="14" xfId="0" applyNumberFormat="1" applyFont="1" applyBorder="1" applyAlignment="1">
      <alignment horizontal="right"/>
    </xf>
    <xf numFmtId="3" fontId="10" fillId="0" borderId="14" xfId="0" applyNumberFormat="1" applyFont="1" applyBorder="1" applyAlignment="1">
      <alignment horizontal="right"/>
    </xf>
    <xf numFmtId="37" fontId="159" fillId="0" borderId="15" xfId="0" applyNumberFormat="1" applyFont="1" applyBorder="1" applyAlignment="1">
      <alignment horizontal="right"/>
    </xf>
    <xf numFmtId="5" fontId="10" fillId="7" borderId="15" xfId="0" applyNumberFormat="1" applyFont="1" applyFill="1" applyBorder="1"/>
    <xf numFmtId="37" fontId="72" fillId="0" borderId="0" xfId="0" applyNumberFormat="1" applyFont="1"/>
    <xf numFmtId="176" fontId="117" fillId="9" borderId="0" xfId="0" applyNumberFormat="1" applyFont="1" applyFill="1" applyAlignment="1">
      <alignment horizontal="right"/>
    </xf>
    <xf numFmtId="176" fontId="117" fillId="0" borderId="0" xfId="0" applyNumberFormat="1" applyFont="1"/>
    <xf numFmtId="176" fontId="117" fillId="0" borderId="0" xfId="0" applyNumberFormat="1" applyFont="1" applyAlignment="1">
      <alignment horizontal="right"/>
    </xf>
    <xf numFmtId="176" fontId="116" fillId="0" borderId="0" xfId="0" applyNumberFormat="1" applyFont="1" applyProtection="1">
      <protection locked="0"/>
    </xf>
    <xf numFmtId="176" fontId="118" fillId="0" borderId="0" xfId="0" applyNumberFormat="1" applyFont="1"/>
    <xf numFmtId="37" fontId="74" fillId="0" borderId="0" xfId="0" applyNumberFormat="1" applyFont="1"/>
    <xf numFmtId="37" fontId="88" fillId="0" borderId="0" xfId="0" applyNumberFormat="1" applyFont="1" applyProtection="1">
      <protection locked="0"/>
    </xf>
    <xf numFmtId="37" fontId="88" fillId="0" borderId="0" xfId="0" applyNumberFormat="1" applyFont="1" applyAlignment="1" applyProtection="1">
      <alignment horizontal="right"/>
      <protection locked="0"/>
    </xf>
    <xf numFmtId="167" fontId="78" fillId="9" borderId="0" xfId="0" applyNumberFormat="1" applyFont="1" applyFill="1" applyAlignment="1">
      <alignment horizontal="right"/>
    </xf>
    <xf numFmtId="167" fontId="78" fillId="0" borderId="0" xfId="0" applyNumberFormat="1" applyFont="1" applyAlignment="1">
      <alignment horizontal="right"/>
    </xf>
    <xf numFmtId="172" fontId="33" fillId="0" borderId="0" xfId="0" applyNumberFormat="1" applyFont="1" applyAlignment="1">
      <alignment horizontal="left"/>
    </xf>
    <xf numFmtId="172" fontId="45" fillId="0" borderId="0" xfId="0" applyNumberFormat="1" applyFont="1" applyAlignment="1">
      <alignment horizontal="left"/>
    </xf>
    <xf numFmtId="37" fontId="65" fillId="9" borderId="0" xfId="0" applyNumberFormat="1" applyFont="1" applyFill="1" applyAlignment="1">
      <alignment horizontal="left"/>
    </xf>
    <xf numFmtId="164" fontId="16" fillId="9" borderId="10" xfId="0" applyFont="1" applyFill="1" applyBorder="1"/>
    <xf numFmtId="164" fontId="16" fillId="0" borderId="10" xfId="0" applyFont="1" applyBorder="1"/>
    <xf numFmtId="169" fontId="123" fillId="0" borderId="0" xfId="0" applyNumberFormat="1" applyFont="1" applyProtection="1">
      <protection locked="0"/>
    </xf>
    <xf numFmtId="164" fontId="18" fillId="7" borderId="3" xfId="0" applyFont="1" applyFill="1" applyBorder="1" applyAlignment="1">
      <alignment horizontal="center" wrapText="1"/>
    </xf>
    <xf numFmtId="172" fontId="46" fillId="9" borderId="18" xfId="0" applyNumberFormat="1" applyFont="1" applyFill="1" applyBorder="1"/>
    <xf numFmtId="172" fontId="46" fillId="0" borderId="18" xfId="0" applyNumberFormat="1" applyFont="1" applyBorder="1"/>
    <xf numFmtId="172" fontId="46" fillId="0" borderId="17" xfId="0" applyNumberFormat="1" applyFont="1" applyBorder="1"/>
    <xf numFmtId="172" fontId="79" fillId="0" borderId="17" xfId="0" applyNumberFormat="1" applyFont="1" applyBorder="1"/>
    <xf numFmtId="172" fontId="48" fillId="7" borderId="18" xfId="0" applyNumberFormat="1" applyFont="1" applyFill="1" applyBorder="1"/>
    <xf numFmtId="37" fontId="82" fillId="9" borderId="13" xfId="0" applyNumberFormat="1" applyFont="1" applyFill="1" applyBorder="1"/>
    <xf numFmtId="37" fontId="82" fillId="0" borderId="13" xfId="0" applyNumberFormat="1" applyFont="1" applyBorder="1"/>
    <xf numFmtId="37" fontId="109" fillId="7" borderId="13" xfId="0" applyNumberFormat="1" applyFont="1" applyFill="1" applyBorder="1"/>
    <xf numFmtId="172" fontId="48" fillId="9" borderId="17" xfId="0" applyNumberFormat="1" applyFont="1" applyFill="1" applyBorder="1"/>
    <xf numFmtId="172" fontId="48" fillId="0" borderId="17" xfId="0" applyNumberFormat="1" applyFont="1" applyBorder="1"/>
    <xf numFmtId="172" fontId="48" fillId="22" borderId="17" xfId="0" applyNumberFormat="1" applyFont="1" applyFill="1" applyBorder="1"/>
    <xf numFmtId="37" fontId="16" fillId="0" borderId="0" xfId="0" applyNumberFormat="1" applyFont="1" applyProtection="1">
      <protection locked="0"/>
    </xf>
    <xf numFmtId="37" fontId="16" fillId="0" borderId="13" xfId="0" applyNumberFormat="1" applyFont="1" applyBorder="1" applyProtection="1">
      <protection locked="0"/>
    </xf>
    <xf numFmtId="37" fontId="18" fillId="22" borderId="13" xfId="0" applyNumberFormat="1" applyFont="1" applyFill="1" applyBorder="1"/>
    <xf numFmtId="172" fontId="79" fillId="9" borderId="17" xfId="0" applyNumberFormat="1" applyFont="1" applyFill="1" applyBorder="1"/>
    <xf numFmtId="172" fontId="48" fillId="20" borderId="17" xfId="0" applyNumberFormat="1" applyFont="1" applyFill="1" applyBorder="1"/>
    <xf numFmtId="172" fontId="48" fillId="0" borderId="21" xfId="0" applyNumberFormat="1" applyFont="1" applyBorder="1"/>
    <xf numFmtId="37" fontId="32" fillId="0" borderId="13" xfId="0" applyNumberFormat="1" applyFont="1" applyBorder="1" applyProtection="1">
      <protection locked="0"/>
    </xf>
    <xf numFmtId="172" fontId="79" fillId="9" borderId="42" xfId="0" applyNumberFormat="1" applyFont="1" applyFill="1" applyBorder="1"/>
    <xf numFmtId="172" fontId="48" fillId="20" borderId="42" xfId="0" applyNumberFormat="1" applyFont="1" applyFill="1" applyBorder="1"/>
    <xf numFmtId="172" fontId="48" fillId="0" borderId="42" xfId="0" applyNumberFormat="1" applyFont="1" applyBorder="1"/>
    <xf numFmtId="172" fontId="48" fillId="22" borderId="19" xfId="0" applyNumberFormat="1" applyFont="1" applyFill="1" applyBorder="1"/>
    <xf numFmtId="172" fontId="48" fillId="20" borderId="43" xfId="0" applyNumberFormat="1" applyFont="1" applyFill="1" applyBorder="1"/>
    <xf numFmtId="172" fontId="48" fillId="22" borderId="43" xfId="0" applyNumberFormat="1" applyFont="1" applyFill="1" applyBorder="1"/>
    <xf numFmtId="172" fontId="48" fillId="22" borderId="42" xfId="0" applyNumberFormat="1" applyFont="1" applyFill="1" applyBorder="1"/>
    <xf numFmtId="37" fontId="10" fillId="0" borderId="0" xfId="0" applyNumberFormat="1" applyFont="1" applyAlignment="1">
      <alignment horizontal="left"/>
    </xf>
    <xf numFmtId="172" fontId="48" fillId="9" borderId="42" xfId="0" applyNumberFormat="1" applyFont="1" applyFill="1" applyBorder="1"/>
    <xf numFmtId="37" fontId="83" fillId="0" borderId="0" xfId="0" applyNumberFormat="1" applyFont="1" applyAlignment="1">
      <alignment horizontal="left"/>
    </xf>
    <xf numFmtId="37" fontId="83" fillId="9" borderId="27" xfId="0" applyNumberFormat="1" applyFont="1" applyFill="1" applyBorder="1"/>
    <xf numFmtId="37" fontId="83" fillId="20" borderId="27" xfId="0" applyNumberFormat="1" applyFont="1" applyFill="1" applyBorder="1"/>
    <xf numFmtId="37" fontId="83" fillId="0" borderId="27" xfId="0" applyNumberFormat="1" applyFont="1" applyBorder="1"/>
    <xf numFmtId="37" fontId="83" fillId="0" borderId="13" xfId="0" applyNumberFormat="1" applyFont="1" applyBorder="1"/>
    <xf numFmtId="37" fontId="109" fillId="22" borderId="13" xfId="0" applyNumberFormat="1" applyFont="1" applyFill="1" applyBorder="1"/>
    <xf numFmtId="172" fontId="48" fillId="0" borderId="44" xfId="0" applyNumberFormat="1" applyFont="1" applyBorder="1"/>
    <xf numFmtId="37" fontId="48" fillId="0" borderId="0" xfId="0" applyNumberFormat="1" applyFont="1"/>
    <xf numFmtId="37" fontId="32" fillId="9" borderId="13" xfId="0" applyNumberFormat="1" applyFont="1" applyFill="1" applyBorder="1" applyProtection="1">
      <protection locked="0"/>
    </xf>
    <xf numFmtId="43" fontId="32" fillId="9" borderId="13" xfId="1" applyFont="1" applyFill="1" applyBorder="1" applyProtection="1">
      <protection locked="0"/>
    </xf>
    <xf numFmtId="9" fontId="79" fillId="9" borderId="42" xfId="49" applyFont="1" applyFill="1" applyBorder="1" applyProtection="1"/>
    <xf numFmtId="43" fontId="79" fillId="9" borderId="42" xfId="1" applyFont="1" applyFill="1" applyBorder="1" applyProtection="1"/>
    <xf numFmtId="43" fontId="48" fillId="0" borderId="42" xfId="1" applyFont="1" applyFill="1" applyBorder="1" applyProtection="1"/>
    <xf numFmtId="37" fontId="10" fillId="9" borderId="0" xfId="0" applyNumberFormat="1" applyFont="1" applyFill="1" applyProtection="1">
      <protection locked="0"/>
    </xf>
    <xf numFmtId="37" fontId="16" fillId="0" borderId="0" xfId="0" applyNumberFormat="1" applyFont="1"/>
    <xf numFmtId="37" fontId="10" fillId="9" borderId="14" xfId="0" applyNumberFormat="1" applyFont="1" applyFill="1" applyBorder="1"/>
    <xf numFmtId="37" fontId="10" fillId="0" borderId="14" xfId="0" applyNumberFormat="1" applyFont="1" applyBorder="1"/>
    <xf numFmtId="37" fontId="10" fillId="0" borderId="15" xfId="0" applyNumberFormat="1" applyFont="1" applyBorder="1"/>
    <xf numFmtId="5" fontId="16" fillId="7" borderId="15" xfId="0" applyNumberFormat="1" applyFont="1" applyFill="1" applyBorder="1"/>
    <xf numFmtId="164" fontId="16" fillId="0" borderId="0" xfId="0" applyFont="1" applyProtection="1">
      <protection locked="0"/>
    </xf>
    <xf numFmtId="37" fontId="16" fillId="6" borderId="0" xfId="0" applyNumberFormat="1" applyFont="1" applyFill="1" applyAlignment="1">
      <alignment horizontal="left"/>
    </xf>
    <xf numFmtId="37" fontId="16" fillId="6" borderId="0" xfId="0" applyNumberFormat="1" applyFont="1" applyFill="1" applyAlignment="1">
      <alignment horizontal="center"/>
    </xf>
    <xf numFmtId="37" fontId="16" fillId="6" borderId="0" xfId="0" applyNumberFormat="1" applyFont="1" applyFill="1" applyAlignment="1">
      <alignment horizontal="right"/>
    </xf>
    <xf numFmtId="5" fontId="10" fillId="9" borderId="15" xfId="0" applyNumberFormat="1" applyFont="1" applyFill="1" applyBorder="1"/>
    <xf numFmtId="5" fontId="16" fillId="9" borderId="15" xfId="0" applyNumberFormat="1" applyFont="1" applyFill="1" applyBorder="1"/>
    <xf numFmtId="5" fontId="16" fillId="0" borderId="0" xfId="0" applyNumberFormat="1" applyFont="1"/>
    <xf numFmtId="5" fontId="10" fillId="6" borderId="15" xfId="0" applyNumberFormat="1" applyFont="1" applyFill="1" applyBorder="1"/>
    <xf numFmtId="5" fontId="83" fillId="14" borderId="15" xfId="0" applyNumberFormat="1" applyFont="1" applyFill="1" applyBorder="1"/>
    <xf numFmtId="37" fontId="159" fillId="12" borderId="3" xfId="0" applyNumberFormat="1" applyFont="1" applyFill="1" applyBorder="1" applyAlignment="1" applyProtection="1">
      <alignment horizontal="right"/>
      <protection locked="0"/>
    </xf>
    <xf numFmtId="164" fontId="131" fillId="0" borderId="24" xfId="0" applyFont="1" applyFill="1" applyBorder="1" applyAlignment="1">
      <alignment horizontal="left"/>
    </xf>
    <xf numFmtId="14" fontId="20" fillId="0" borderId="10" xfId="0" quotePrefix="1" applyNumberFormat="1" applyFont="1" applyFill="1" applyBorder="1" applyAlignment="1">
      <alignment horizontal="center"/>
    </xf>
    <xf numFmtId="14" fontId="172" fillId="0" borderId="5" xfId="0" applyNumberFormat="1" applyFont="1" applyFill="1" applyBorder="1" applyAlignment="1">
      <alignment horizontal="center" wrapText="1"/>
    </xf>
    <xf numFmtId="171" fontId="18" fillId="0" borderId="0" xfId="3" applyNumberFormat="1" applyFont="1" applyFill="1" applyBorder="1" applyProtection="1"/>
    <xf numFmtId="171" fontId="173" fillId="0" borderId="3" xfId="3" applyNumberFormat="1" applyFont="1" applyFill="1" applyBorder="1" applyProtection="1">
      <protection locked="0"/>
    </xf>
    <xf numFmtId="37" fontId="10" fillId="0" borderId="14" xfId="0" applyNumberFormat="1" applyFont="1" applyFill="1" applyBorder="1"/>
    <xf numFmtId="5" fontId="16" fillId="0" borderId="15" xfId="0" applyNumberFormat="1" applyFont="1" applyFill="1" applyBorder="1"/>
    <xf numFmtId="43" fontId="32" fillId="0" borderId="13" xfId="1" applyFont="1" applyBorder="1" applyProtection="1">
      <protection locked="0"/>
    </xf>
    <xf numFmtId="37" fontId="32" fillId="12" borderId="3" xfId="0" applyNumberFormat="1" applyFont="1" applyFill="1" applyBorder="1" applyAlignment="1" applyProtection="1">
      <alignment horizontal="right"/>
      <protection locked="0"/>
    </xf>
    <xf numFmtId="164" fontId="134" fillId="0" borderId="0" xfId="0" applyFont="1" applyFill="1" applyAlignment="1">
      <alignment horizontal="center" vertical="center" wrapText="1"/>
    </xf>
    <xf numFmtId="165" fontId="129" fillId="0" borderId="0" xfId="0" applyNumberFormat="1" applyFont="1" applyAlignment="1">
      <alignment horizontal="center" vertical="center"/>
    </xf>
    <xf numFmtId="164" fontId="161" fillId="23" borderId="6" xfId="0" applyFont="1" applyFill="1" applyBorder="1" applyAlignment="1">
      <alignment horizontal="center" vertical="center" wrapText="1"/>
    </xf>
    <xf numFmtId="164" fontId="161" fillId="23" borderId="9" xfId="0" applyFont="1" applyFill="1" applyBorder="1" applyAlignment="1">
      <alignment horizontal="center" vertical="center" wrapText="1"/>
    </xf>
    <xf numFmtId="165" fontId="119" fillId="0" borderId="0" xfId="0" applyNumberFormat="1" applyFont="1" applyAlignment="1" applyProtection="1">
      <alignment horizontal="center"/>
    </xf>
    <xf numFmtId="165" fontId="120" fillId="0" borderId="0" xfId="0" applyNumberFormat="1" applyFont="1" applyAlignment="1" applyProtection="1">
      <alignment horizontal="center"/>
    </xf>
    <xf numFmtId="165" fontId="160" fillId="12" borderId="6" xfId="0" applyNumberFormat="1" applyFont="1" applyFill="1" applyBorder="1" applyAlignment="1" applyProtection="1">
      <alignment horizontal="center" vertical="center" wrapText="1"/>
      <protection locked="0"/>
    </xf>
    <xf numFmtId="165" fontId="160" fillId="12" borderId="9" xfId="0" applyNumberFormat="1" applyFont="1" applyFill="1" applyBorder="1" applyAlignment="1" applyProtection="1">
      <alignment horizontal="center" vertical="center" wrapText="1"/>
      <protection locked="0"/>
    </xf>
    <xf numFmtId="37" fontId="86" fillId="25" borderId="0" xfId="0" applyNumberFormat="1" applyFont="1" applyFill="1" applyBorder="1" applyAlignment="1" applyProtection="1">
      <alignment horizontal="right" wrapText="1"/>
    </xf>
    <xf numFmtId="164" fontId="10" fillId="0" borderId="0" xfId="0" applyFont="1" applyFill="1" applyBorder="1" applyAlignment="1" applyProtection="1">
      <alignment horizontal="right" vertical="top" wrapText="1"/>
    </xf>
    <xf numFmtId="164" fontId="165" fillId="12" borderId="0" xfId="0" applyFont="1" applyFill="1" applyBorder="1" applyAlignment="1" applyProtection="1">
      <alignment horizontal="left" wrapText="1"/>
      <protection locked="0"/>
    </xf>
    <xf numFmtId="164" fontId="69" fillId="26" borderId="24" xfId="0" applyFont="1" applyFill="1" applyBorder="1" applyAlignment="1" applyProtection="1">
      <alignment horizontal="center" vertical="center"/>
      <protection locked="0"/>
    </xf>
    <xf numFmtId="164" fontId="69" fillId="26" borderId="10" xfId="0" applyFont="1" applyFill="1" applyBorder="1" applyAlignment="1" applyProtection="1">
      <alignment horizontal="center" vertical="center"/>
      <protection locked="0"/>
    </xf>
    <xf numFmtId="164" fontId="69" fillId="26" borderId="5" xfId="0" applyFont="1" applyFill="1" applyBorder="1" applyAlignment="1" applyProtection="1">
      <alignment horizontal="center" vertical="center"/>
      <protection locked="0"/>
    </xf>
    <xf numFmtId="165" fontId="129" fillId="0" borderId="0" xfId="0" applyNumberFormat="1" applyFont="1" applyFill="1" applyAlignment="1" applyProtection="1">
      <alignment horizontal="center" vertical="center"/>
    </xf>
    <xf numFmtId="164" fontId="161" fillId="11" borderId="0" xfId="0" applyFont="1" applyFill="1" applyBorder="1" applyAlignment="1" applyProtection="1">
      <alignment horizontal="center"/>
    </xf>
    <xf numFmtId="164" fontId="134" fillId="2" borderId="0" xfId="0" applyFont="1" applyFill="1" applyBorder="1" applyAlignment="1" applyProtection="1">
      <alignment horizontal="center" vertical="center" wrapText="1"/>
    </xf>
    <xf numFmtId="164" fontId="134" fillId="2" borderId="33" xfId="0" applyFont="1" applyFill="1" applyBorder="1" applyAlignment="1" applyProtection="1">
      <alignment horizontal="center" vertical="center" wrapText="1"/>
    </xf>
    <xf numFmtId="164" fontId="134" fillId="2" borderId="10" xfId="0" applyFont="1" applyFill="1" applyBorder="1" applyAlignment="1" applyProtection="1">
      <alignment horizontal="center" vertical="center" wrapText="1"/>
    </xf>
    <xf numFmtId="164" fontId="134" fillId="2" borderId="5" xfId="0" applyFont="1" applyFill="1" applyBorder="1" applyAlignment="1" applyProtection="1">
      <alignment horizontal="center" vertical="center" wrapText="1"/>
    </xf>
    <xf numFmtId="164" fontId="65" fillId="9" borderId="7" xfId="0" applyNumberFormat="1" applyFont="1" applyFill="1" applyBorder="1" applyAlignment="1" applyProtection="1">
      <alignment horizontal="center" vertical="center" wrapText="1"/>
      <protection locked="0"/>
    </xf>
    <xf numFmtId="164" fontId="65" fillId="9" borderId="30" xfId="0" applyNumberFormat="1" applyFont="1" applyFill="1" applyBorder="1" applyAlignment="1" applyProtection="1">
      <alignment horizontal="center" vertical="center" wrapText="1"/>
      <protection locked="0"/>
    </xf>
    <xf numFmtId="164" fontId="65" fillId="9" borderId="41" xfId="0" applyNumberFormat="1" applyFont="1" applyFill="1" applyBorder="1" applyAlignment="1" applyProtection="1">
      <alignment horizontal="center" vertical="center" wrapText="1"/>
      <protection locked="0"/>
    </xf>
    <xf numFmtId="164" fontId="161" fillId="23" borderId="6" xfId="0" applyNumberFormat="1" applyFont="1" applyFill="1" applyBorder="1" applyAlignment="1" applyProtection="1">
      <alignment horizontal="center" vertical="center" wrapText="1"/>
    </xf>
    <xf numFmtId="164" fontId="161" fillId="23" borderId="9" xfId="0" applyNumberFormat="1" applyFont="1" applyFill="1" applyBorder="1" applyAlignment="1" applyProtection="1">
      <alignment horizontal="center" vertical="center" wrapText="1"/>
    </xf>
    <xf numFmtId="165" fontId="160" fillId="9" borderId="6" xfId="0" applyNumberFormat="1" applyFont="1" applyFill="1" applyBorder="1" applyAlignment="1" applyProtection="1">
      <alignment horizontal="center" vertical="center" wrapText="1"/>
      <protection locked="0"/>
    </xf>
    <xf numFmtId="165" fontId="160" fillId="9" borderId="9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0" xfId="0" applyFont="1" applyBorder="1" applyAlignment="1" applyProtection="1">
      <alignment horizontal="left" wrapText="1"/>
    </xf>
    <xf numFmtId="5" fontId="83" fillId="14" borderId="0" xfId="0" applyNumberFormat="1" applyFont="1" applyFill="1" applyBorder="1" applyAlignment="1" applyProtection="1">
      <alignment horizontal="center"/>
    </xf>
    <xf numFmtId="37" fontId="10" fillId="14" borderId="0" xfId="0" applyNumberFormat="1" applyFont="1" applyFill="1" applyBorder="1" applyAlignment="1" applyProtection="1">
      <alignment horizontal="center" wrapText="1"/>
    </xf>
    <xf numFmtId="37" fontId="10" fillId="14" borderId="4" xfId="0" applyNumberFormat="1" applyFont="1" applyFill="1" applyBorder="1" applyAlignment="1" applyProtection="1">
      <alignment horizontal="center" wrapText="1"/>
    </xf>
    <xf numFmtId="164" fontId="130" fillId="13" borderId="6" xfId="0" applyNumberFormat="1" applyFont="1" applyFill="1" applyBorder="1" applyAlignment="1" applyProtection="1">
      <alignment horizontal="center" wrapText="1"/>
    </xf>
    <xf numFmtId="164" fontId="130" fillId="13" borderId="9" xfId="0" applyNumberFormat="1" applyFont="1" applyFill="1" applyBorder="1" applyAlignment="1" applyProtection="1">
      <alignment horizontal="center" wrapText="1"/>
    </xf>
    <xf numFmtId="164" fontId="133" fillId="11" borderId="0" xfId="0" applyFont="1" applyFill="1" applyBorder="1" applyAlignment="1" applyProtection="1">
      <alignment horizontal="center"/>
    </xf>
    <xf numFmtId="164" fontId="134" fillId="2" borderId="0" xfId="0" applyFont="1" applyFill="1" applyBorder="1" applyAlignment="1" applyProtection="1">
      <alignment horizontal="center" wrapText="1"/>
    </xf>
    <xf numFmtId="164" fontId="134" fillId="2" borderId="33" xfId="0" applyFont="1" applyFill="1" applyBorder="1" applyAlignment="1" applyProtection="1">
      <alignment horizontal="center" wrapText="1"/>
    </xf>
    <xf numFmtId="165" fontId="121" fillId="0" borderId="0" xfId="0" applyNumberFormat="1" applyFont="1" applyFill="1" applyAlignment="1" applyProtection="1">
      <alignment horizontal="center"/>
    </xf>
    <xf numFmtId="164" fontId="112" fillId="12" borderId="0" xfId="0" applyFont="1" applyFill="1" applyAlignment="1">
      <alignment horizontal="center"/>
    </xf>
    <xf numFmtId="165" fontId="42" fillId="12" borderId="24" xfId="0" applyNumberFormat="1" applyFont="1" applyFill="1" applyBorder="1" applyAlignment="1" applyProtection="1">
      <alignment horizontal="center" vertical="center"/>
    </xf>
    <xf numFmtId="165" fontId="42" fillId="12" borderId="10" xfId="0" applyNumberFormat="1" applyFont="1" applyFill="1" applyBorder="1" applyAlignment="1" applyProtection="1">
      <alignment horizontal="center" vertical="center"/>
    </xf>
    <xf numFmtId="0" fontId="154" fillId="0" borderId="0" xfId="86" applyFont="1" applyAlignment="1">
      <alignment horizontal="center"/>
    </xf>
    <xf numFmtId="0" fontId="153" fillId="0" borderId="0" xfId="86" applyFont="1" applyAlignment="1">
      <alignment horizontal="center"/>
    </xf>
    <xf numFmtId="0" fontId="149" fillId="0" borderId="0" xfId="84" applyFont="1" applyAlignment="1">
      <alignment horizontal="center"/>
    </xf>
    <xf numFmtId="0" fontId="148" fillId="0" borderId="0" xfId="84" applyFont="1" applyAlignment="1">
      <alignment horizontal="center"/>
    </xf>
    <xf numFmtId="171" fontId="32" fillId="0" borderId="0" xfId="1" applyNumberFormat="1" applyFont="1" applyFill="1" applyBorder="1" applyAlignment="1" applyProtection="1">
      <alignment horizontal="right" wrapText="1"/>
      <protection locked="0"/>
    </xf>
    <xf numFmtId="164" fontId="105" fillId="0" borderId="0" xfId="0" applyFont="1" applyFill="1" applyBorder="1" applyAlignment="1" applyProtection="1">
      <alignment horizontal="left" wrapText="1"/>
      <protection locked="0"/>
    </xf>
    <xf numFmtId="165" fontId="9" fillId="0" borderId="27" xfId="0" applyNumberFormat="1" applyFont="1" applyBorder="1" applyAlignment="1" applyProtection="1">
      <alignment horizontal="center"/>
    </xf>
    <xf numFmtId="165" fontId="9" fillId="0" borderId="0" xfId="0" applyNumberFormat="1" applyFont="1" applyBorder="1" applyAlignment="1" applyProtection="1">
      <alignment horizontal="center"/>
    </xf>
    <xf numFmtId="165" fontId="89" fillId="0" borderId="0" xfId="0" applyNumberFormat="1" applyFont="1" applyBorder="1" applyAlignment="1" applyProtection="1">
      <alignment horizontal="center"/>
    </xf>
    <xf numFmtId="164" fontId="91" fillId="6" borderId="10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4" xfId="0" applyNumberFormat="1" applyFont="1" applyFill="1" applyBorder="1" applyAlignment="1" applyProtection="1">
      <alignment horizontal="center"/>
      <protection locked="0"/>
    </xf>
    <xf numFmtId="37" fontId="95" fillId="15" borderId="17" xfId="0" applyNumberFormat="1" applyFont="1" applyFill="1" applyBorder="1" applyAlignment="1" applyProtection="1">
      <alignment horizontal="center" wrapText="1"/>
    </xf>
    <xf numFmtId="37" fontId="95" fillId="15" borderId="13" xfId="0" applyNumberFormat="1" applyFont="1" applyFill="1" applyBorder="1" applyAlignment="1" applyProtection="1">
      <alignment horizontal="center" wrapText="1"/>
    </xf>
    <xf numFmtId="164" fontId="77" fillId="0" borderId="0" xfId="0" applyNumberFormat="1" applyFont="1" applyFill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center"/>
    </xf>
    <xf numFmtId="165" fontId="12" fillId="0" borderId="0" xfId="0" applyNumberFormat="1" applyFont="1" applyAlignment="1" applyProtection="1">
      <alignment horizontal="center"/>
    </xf>
  </cellXfs>
  <cellStyles count="88">
    <cellStyle name="Comma" xfId="1" builtinId="3"/>
    <cellStyle name="Comma 2" xfId="3" xr:uid="{00000000-0005-0000-0000-000001000000}"/>
    <cellStyle name="Comma 2 2" xfId="35" xr:uid="{00000000-0005-0000-0000-000002000000}"/>
    <cellStyle name="Comma 3" xfId="31" xr:uid="{00000000-0005-0000-0000-000003000000}"/>
    <cellStyle name="Comma 3 2" xfId="40" xr:uid="{00000000-0005-0000-0000-000004000000}"/>
    <cellStyle name="Comma 4" xfId="50" xr:uid="{00000000-0005-0000-0000-000005000000}"/>
    <cellStyle name="Comma 4 2" xfId="51" xr:uid="{00000000-0005-0000-0000-000006000000}"/>
    <cellStyle name="Currency" xfId="2" builtinId="4"/>
    <cellStyle name="Currency 2" xfId="4" xr:uid="{00000000-0005-0000-0000-000008000000}"/>
    <cellStyle name="Currency 2 2" xfId="36" xr:uid="{00000000-0005-0000-0000-000009000000}"/>
    <cellStyle name="Currency 3" xfId="32" xr:uid="{00000000-0005-0000-0000-00000A000000}"/>
    <cellStyle name="Currency 3 2" xfId="52" xr:uid="{00000000-0005-0000-0000-00000B000000}"/>
    <cellStyle name="Currency 4" xfId="53" xr:uid="{00000000-0005-0000-0000-00000C000000}"/>
    <cellStyle name="Currency 4 2" xfId="54" xr:uid="{00000000-0005-0000-0000-00000D000000}"/>
    <cellStyle name="Excel Built-in Normal 1" xfId="83" xr:uid="{A1000144-B2FC-4234-B593-FF6E1C306C12}"/>
    <cellStyle name="Normal" xfId="0" builtinId="0"/>
    <cellStyle name="Normal 10" xfId="5" xr:uid="{00000000-0005-0000-0000-00000F000000}"/>
    <cellStyle name="Normal 10 2" xfId="55" xr:uid="{00000000-0005-0000-0000-000010000000}"/>
    <cellStyle name="Normal 11" xfId="28" xr:uid="{00000000-0005-0000-0000-000011000000}"/>
    <cellStyle name="Normal 11 2" xfId="41" xr:uid="{00000000-0005-0000-0000-000012000000}"/>
    <cellStyle name="Normal 12" xfId="29" xr:uid="{00000000-0005-0000-0000-000013000000}"/>
    <cellStyle name="Normal 13" xfId="30" xr:uid="{00000000-0005-0000-0000-000014000000}"/>
    <cellStyle name="Normal 13 2" xfId="42" xr:uid="{00000000-0005-0000-0000-000015000000}"/>
    <cellStyle name="Normal 13 2 2" xfId="87" xr:uid="{5FF8332C-3106-4468-A225-C8E574F9D831}"/>
    <cellStyle name="Normal 14" xfId="43" xr:uid="{00000000-0005-0000-0000-000016000000}"/>
    <cellStyle name="Normal 14 2" xfId="44" xr:uid="{00000000-0005-0000-0000-000017000000}"/>
    <cellStyle name="Normal 15" xfId="45" xr:uid="{00000000-0005-0000-0000-000018000000}"/>
    <cellStyle name="Normal 15 2" xfId="46" xr:uid="{00000000-0005-0000-0000-000019000000}"/>
    <cellStyle name="Normal 16" xfId="47" xr:uid="{00000000-0005-0000-0000-00001A000000}"/>
    <cellStyle name="Normal 16 2" xfId="48" xr:uid="{00000000-0005-0000-0000-00001B000000}"/>
    <cellStyle name="Normal 17" xfId="56" xr:uid="{00000000-0005-0000-0000-00001C000000}"/>
    <cellStyle name="Normal 18" xfId="57" xr:uid="{00000000-0005-0000-0000-00001D000000}"/>
    <cellStyle name="Normal 19" xfId="58" xr:uid="{00000000-0005-0000-0000-00001E000000}"/>
    <cellStyle name="Normal 2" xfId="6" xr:uid="{00000000-0005-0000-0000-00001F000000}"/>
    <cellStyle name="Normal 2 2" xfId="7" xr:uid="{00000000-0005-0000-0000-000020000000}"/>
    <cellStyle name="Normal 2 2 2" xfId="8" xr:uid="{00000000-0005-0000-0000-000021000000}"/>
    <cellStyle name="Normal 2 2 3" xfId="9" xr:uid="{00000000-0005-0000-0000-000022000000}"/>
    <cellStyle name="Normal 2 3" xfId="10" xr:uid="{00000000-0005-0000-0000-000023000000}"/>
    <cellStyle name="Normal 2 3 2" xfId="59" xr:uid="{00000000-0005-0000-0000-000024000000}"/>
    <cellStyle name="Normal 2 3 2 2" xfId="60" xr:uid="{00000000-0005-0000-0000-000025000000}"/>
    <cellStyle name="Normal 2 3 3" xfId="61" xr:uid="{00000000-0005-0000-0000-000026000000}"/>
    <cellStyle name="Normal 2 4" xfId="11" xr:uid="{00000000-0005-0000-0000-000027000000}"/>
    <cellStyle name="Normal 2 4 2" xfId="62" xr:uid="{00000000-0005-0000-0000-000028000000}"/>
    <cellStyle name="Normal 2 5" xfId="34" xr:uid="{00000000-0005-0000-0000-000029000000}"/>
    <cellStyle name="Normal 20" xfId="63" xr:uid="{00000000-0005-0000-0000-00002A000000}"/>
    <cellStyle name="Normal 21" xfId="64" xr:uid="{00000000-0005-0000-0000-00002B000000}"/>
    <cellStyle name="Normal 21 2" xfId="85" xr:uid="{16635BB0-60D3-4D30-BA3E-BC500A4580C4}"/>
    <cellStyle name="Normal 22" xfId="65" xr:uid="{00000000-0005-0000-0000-00002C000000}"/>
    <cellStyle name="Normal 23" xfId="66" xr:uid="{00000000-0005-0000-0000-00002D000000}"/>
    <cellStyle name="Normal 24" xfId="67" xr:uid="{00000000-0005-0000-0000-00002E000000}"/>
    <cellStyle name="Normal 25" xfId="68" xr:uid="{00000000-0005-0000-0000-00002F000000}"/>
    <cellStyle name="Normal 26" xfId="69" xr:uid="{00000000-0005-0000-0000-000030000000}"/>
    <cellStyle name="Normal 27" xfId="70" xr:uid="{00000000-0005-0000-0000-000031000000}"/>
    <cellStyle name="Normal 28" xfId="71" xr:uid="{00000000-0005-0000-0000-000032000000}"/>
    <cellStyle name="Normal 29" xfId="84" xr:uid="{6C75BEC0-B5D2-4B2A-B788-7AEFA7123AB4}"/>
    <cellStyle name="Normal 3" xfId="12" xr:uid="{00000000-0005-0000-0000-000033000000}"/>
    <cellStyle name="Normal 3 2" xfId="13" xr:uid="{00000000-0005-0000-0000-000034000000}"/>
    <cellStyle name="Normal 3 2 2" xfId="14" xr:uid="{00000000-0005-0000-0000-000035000000}"/>
    <cellStyle name="Normal 3 2 2 2" xfId="72" xr:uid="{00000000-0005-0000-0000-000036000000}"/>
    <cellStyle name="Normal 3 2 3" xfId="15" xr:uid="{00000000-0005-0000-0000-000037000000}"/>
    <cellStyle name="Normal 3 3" xfId="16" xr:uid="{00000000-0005-0000-0000-000038000000}"/>
    <cellStyle name="Normal 3 3 2" xfId="73" xr:uid="{00000000-0005-0000-0000-000039000000}"/>
    <cellStyle name="Normal 3 4" xfId="17" xr:uid="{00000000-0005-0000-0000-00003A000000}"/>
    <cellStyle name="Normal 3 5" xfId="37" xr:uid="{00000000-0005-0000-0000-00003B000000}"/>
    <cellStyle name="Normal 30" xfId="86" xr:uid="{8E4ABC57-4FF8-4829-B0DC-48B3A34E1F42}"/>
    <cellStyle name="Normal 4" xfId="18" xr:uid="{00000000-0005-0000-0000-00003C000000}"/>
    <cellStyle name="Normal 4 2" xfId="39" xr:uid="{00000000-0005-0000-0000-00003D000000}"/>
    <cellStyle name="Normal 4 2 2" xfId="74" xr:uid="{00000000-0005-0000-0000-00003E000000}"/>
    <cellStyle name="Normal 4 3" xfId="75" xr:uid="{00000000-0005-0000-0000-00003F000000}"/>
    <cellStyle name="Normal 5" xfId="19" xr:uid="{00000000-0005-0000-0000-000040000000}"/>
    <cellStyle name="Normal 5 2" xfId="20" xr:uid="{00000000-0005-0000-0000-000041000000}"/>
    <cellStyle name="Normal 5 3" xfId="21" xr:uid="{00000000-0005-0000-0000-000042000000}"/>
    <cellStyle name="Normal 6" xfId="22" xr:uid="{00000000-0005-0000-0000-000043000000}"/>
    <cellStyle name="Normal 6 2" xfId="23" xr:uid="{00000000-0005-0000-0000-000044000000}"/>
    <cellStyle name="Normal 6 2 2" xfId="76" xr:uid="{00000000-0005-0000-0000-000045000000}"/>
    <cellStyle name="Normal 6 3" xfId="24" xr:uid="{00000000-0005-0000-0000-000046000000}"/>
    <cellStyle name="Normal 7" xfId="25" xr:uid="{00000000-0005-0000-0000-000047000000}"/>
    <cellStyle name="Normal 7 2" xfId="77" xr:uid="{00000000-0005-0000-0000-000048000000}"/>
    <cellStyle name="Normal 8" xfId="26" xr:uid="{00000000-0005-0000-0000-000049000000}"/>
    <cellStyle name="Normal 8 2" xfId="78" xr:uid="{00000000-0005-0000-0000-00004A000000}"/>
    <cellStyle name="Normal 9" xfId="27" xr:uid="{00000000-0005-0000-0000-00004B000000}"/>
    <cellStyle name="Normal 9 2" xfId="79" xr:uid="{00000000-0005-0000-0000-00004C000000}"/>
    <cellStyle name="Percent" xfId="49" builtinId="5"/>
    <cellStyle name="Percent 2" xfId="38" xr:uid="{00000000-0005-0000-0000-00004E000000}"/>
    <cellStyle name="Percent 3" xfId="33" xr:uid="{00000000-0005-0000-0000-00004F000000}"/>
    <cellStyle name="Percent 3 2" xfId="80" xr:uid="{00000000-0005-0000-0000-000050000000}"/>
    <cellStyle name="Percent 4" xfId="81" xr:uid="{00000000-0005-0000-0000-000051000000}"/>
    <cellStyle name="Percent 4 2" xfId="82" xr:uid="{00000000-0005-0000-0000-000052000000}"/>
  </cellStyles>
  <dxfs count="0"/>
  <tableStyles count="0" defaultTableStyle="TableStyleMedium2" defaultPivotStyle="PivotStyleLight16"/>
  <colors>
    <mruColors>
      <color rgb="FF0000CC"/>
      <color rgb="FFFFCC99"/>
      <color rgb="FFCCCCFF"/>
      <color rgb="FFCCFFCC"/>
      <color rgb="FF006600"/>
      <color rgb="FF00CC00"/>
      <color rgb="FFFF66FF"/>
      <color rgb="FFCCFFFF"/>
      <color rgb="FF99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593340</xdr:colOff>
      <xdr:row>6</xdr:row>
      <xdr:rowOff>62120</xdr:rowOff>
    </xdr:from>
    <xdr:ext cx="184730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C2A2C8D-057B-4F33-8AFE-81E7293A8A03}"/>
            </a:ext>
          </a:extLst>
        </xdr:cNvPr>
        <xdr:cNvSpPr/>
      </xdr:nvSpPr>
      <xdr:spPr>
        <a:xfrm>
          <a:off x="9767820" y="389498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rgbClr val="C00000"/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593340</xdr:colOff>
      <xdr:row>6</xdr:row>
      <xdr:rowOff>62120</xdr:rowOff>
    </xdr:from>
    <xdr:ext cx="184730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4A543AB-CFC0-4067-9118-D324CD15D3BD}"/>
            </a:ext>
          </a:extLst>
        </xdr:cNvPr>
        <xdr:cNvSpPr/>
      </xdr:nvSpPr>
      <xdr:spPr>
        <a:xfrm>
          <a:off x="9767820" y="389498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rgbClr val="C00000"/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593340</xdr:colOff>
      <xdr:row>6</xdr:row>
      <xdr:rowOff>62120</xdr:rowOff>
    </xdr:from>
    <xdr:ext cx="184730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63131CB-42B4-4DEE-B7EC-3EF464A5A15E}"/>
            </a:ext>
          </a:extLst>
        </xdr:cNvPr>
        <xdr:cNvSpPr/>
      </xdr:nvSpPr>
      <xdr:spPr>
        <a:xfrm>
          <a:off x="9767820" y="323966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rgbClr val="C00000"/>
            </a:solidFill>
            <a:effectLst/>
          </a:endParaRPr>
        </a:p>
      </xdr:txBody>
    </xdr:sp>
    <xdr:clientData/>
  </xdr:oneCellAnchor>
  <xdr:twoCellAnchor editAs="oneCell">
    <xdr:from>
      <xdr:col>4</xdr:col>
      <xdr:colOff>1507434</xdr:colOff>
      <xdr:row>57</xdr:row>
      <xdr:rowOff>248478</xdr:rowOff>
    </xdr:from>
    <xdr:to>
      <xdr:col>24</xdr:col>
      <xdr:colOff>420908</xdr:colOff>
      <xdr:row>72</xdr:row>
      <xdr:rowOff>149087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CE694F-D9A3-482D-BAA1-CEB43F612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0564" y="24947217"/>
          <a:ext cx="24593029" cy="4671392"/>
        </a:xfrm>
        <a:prstGeom prst="rect">
          <a:avLst/>
        </a:prstGeom>
      </xdr:spPr>
    </xdr:pic>
    <xdr:clientData/>
  </xdr:twoCellAnchor>
  <xdr:twoCellAnchor>
    <xdr:from>
      <xdr:col>23</xdr:col>
      <xdr:colOff>165653</xdr:colOff>
      <xdr:row>56</xdr:row>
      <xdr:rowOff>364434</xdr:rowOff>
    </xdr:from>
    <xdr:to>
      <xdr:col>24</xdr:col>
      <xdr:colOff>430697</xdr:colOff>
      <xdr:row>68</xdr:row>
      <xdr:rowOff>215348</xdr:rowOff>
    </xdr:to>
    <xdr:sp macro="" textlink="">
      <xdr:nvSpPr>
        <xdr:cNvPr id="5" name="Arrow: Curved Left 4">
          <a:extLst>
            <a:ext uri="{FF2B5EF4-FFF2-40B4-BE49-F238E27FC236}">
              <a16:creationId xmlns:a16="http://schemas.microsoft.com/office/drawing/2014/main" id="{2EA89AE6-C843-4ECA-9A1A-5136E5C34D2C}"/>
            </a:ext>
          </a:extLst>
        </xdr:cNvPr>
        <xdr:cNvSpPr/>
      </xdr:nvSpPr>
      <xdr:spPr>
        <a:xfrm>
          <a:off x="33445175" y="24566217"/>
          <a:ext cx="927652" cy="3975653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593340</xdr:colOff>
      <xdr:row>6</xdr:row>
      <xdr:rowOff>62120</xdr:rowOff>
    </xdr:from>
    <xdr:ext cx="184730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69C9191-4D84-4097-B7C4-062F9EE6DF38}"/>
            </a:ext>
          </a:extLst>
        </xdr:cNvPr>
        <xdr:cNvSpPr/>
      </xdr:nvSpPr>
      <xdr:spPr>
        <a:xfrm>
          <a:off x="9724916" y="3085272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rgbClr val="C00000"/>
            </a:solidFill>
            <a:effectLst/>
          </a:endParaRPr>
        </a:p>
      </xdr:txBody>
    </xdr:sp>
    <xdr:clientData/>
  </xdr:oneCellAnchor>
  <xdr:twoCellAnchor editAs="oneCell">
    <xdr:from>
      <xdr:col>21</xdr:col>
      <xdr:colOff>253117</xdr:colOff>
      <xdr:row>3</xdr:row>
      <xdr:rowOff>182217</xdr:rowOff>
    </xdr:from>
    <xdr:to>
      <xdr:col>42</xdr:col>
      <xdr:colOff>201588</xdr:colOff>
      <xdr:row>10</xdr:row>
      <xdr:rowOff>87004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5C61DE-3672-419F-8EDE-68CA4C058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98769" y="2368826"/>
          <a:ext cx="17971428" cy="30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1463040</xdr:colOff>
      <xdr:row>3</xdr:row>
      <xdr:rowOff>350520</xdr:rowOff>
    </xdr:from>
    <xdr:to>
      <xdr:col>14</xdr:col>
      <xdr:colOff>1386840</xdr:colOff>
      <xdr:row>3</xdr:row>
      <xdr:rowOff>640080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7846040" y="1653540"/>
          <a:ext cx="416052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990600</xdr:colOff>
      <xdr:row>3</xdr:row>
      <xdr:rowOff>137160</xdr:rowOff>
    </xdr:from>
    <xdr:to>
      <xdr:col>15</xdr:col>
      <xdr:colOff>30480</xdr:colOff>
      <xdr:row>3</xdr:row>
      <xdr:rowOff>304800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flipV="1">
          <a:off x="20223480" y="1440180"/>
          <a:ext cx="1813560" cy="167640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45720</xdr:colOff>
      <xdr:row>3</xdr:row>
      <xdr:rowOff>137160</xdr:rowOff>
    </xdr:from>
    <xdr:to>
      <xdr:col>7</xdr:col>
      <xdr:colOff>548640</xdr:colOff>
      <xdr:row>3</xdr:row>
      <xdr:rowOff>289560</xdr:rowOff>
    </xdr:to>
    <xdr:sp macro="" textlink="">
      <xdr:nvSpPr>
        <xdr:cNvPr id="9" name="Left Arrow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957560" y="1440180"/>
          <a:ext cx="502920" cy="15240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1463040</xdr:colOff>
      <xdr:row>3</xdr:row>
      <xdr:rowOff>350520</xdr:rowOff>
    </xdr:from>
    <xdr:to>
      <xdr:col>14</xdr:col>
      <xdr:colOff>1386840</xdr:colOff>
      <xdr:row>3</xdr:row>
      <xdr:rowOff>640080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9FF0C8F-8328-4FCF-A8FC-CCEEEB70B693}"/>
            </a:ext>
          </a:extLst>
        </xdr:cNvPr>
        <xdr:cNvCxnSpPr/>
      </xdr:nvCxnSpPr>
      <xdr:spPr>
        <a:xfrm>
          <a:off x="19560540" y="1958340"/>
          <a:ext cx="44958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990600</xdr:colOff>
      <xdr:row>3</xdr:row>
      <xdr:rowOff>137160</xdr:rowOff>
    </xdr:from>
    <xdr:to>
      <xdr:col>15</xdr:col>
      <xdr:colOff>30480</xdr:colOff>
      <xdr:row>3</xdr:row>
      <xdr:rowOff>304800</xdr:rowOff>
    </xdr:to>
    <xdr:sp macro="" textlink="">
      <xdr:nvSpPr>
        <xdr:cNvPr id="3" name="Right Arrow 6">
          <a:extLst>
            <a:ext uri="{FF2B5EF4-FFF2-40B4-BE49-F238E27FC236}">
              <a16:creationId xmlns:a16="http://schemas.microsoft.com/office/drawing/2014/main" id="{7120401A-DBA6-4FF6-8CF8-762C379695B5}"/>
            </a:ext>
          </a:extLst>
        </xdr:cNvPr>
        <xdr:cNvSpPr/>
      </xdr:nvSpPr>
      <xdr:spPr>
        <a:xfrm flipV="1">
          <a:off x="22136100" y="1744980"/>
          <a:ext cx="2087880" cy="167640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45720</xdr:colOff>
      <xdr:row>3</xdr:row>
      <xdr:rowOff>137160</xdr:rowOff>
    </xdr:from>
    <xdr:to>
      <xdr:col>7</xdr:col>
      <xdr:colOff>548640</xdr:colOff>
      <xdr:row>3</xdr:row>
      <xdr:rowOff>289560</xdr:rowOff>
    </xdr:to>
    <xdr:sp macro="" textlink="">
      <xdr:nvSpPr>
        <xdr:cNvPr id="4" name="Left Arrow 8">
          <a:extLst>
            <a:ext uri="{FF2B5EF4-FFF2-40B4-BE49-F238E27FC236}">
              <a16:creationId xmlns:a16="http://schemas.microsoft.com/office/drawing/2014/main" id="{639F54BE-57B2-4F83-8524-BC204B18BB6B}"/>
            </a:ext>
          </a:extLst>
        </xdr:cNvPr>
        <xdr:cNvSpPr/>
      </xdr:nvSpPr>
      <xdr:spPr>
        <a:xfrm>
          <a:off x="12047220" y="1744980"/>
          <a:ext cx="502920" cy="15240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883920</xdr:colOff>
      <xdr:row>16</xdr:row>
      <xdr:rowOff>35532</xdr:rowOff>
    </xdr:from>
    <xdr:to>
      <xdr:col>14</xdr:col>
      <xdr:colOff>1082040</xdr:colOff>
      <xdr:row>16</xdr:row>
      <xdr:rowOff>334755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3F0305F-895A-44FC-9965-6D91F8315791}"/>
            </a:ext>
          </a:extLst>
        </xdr:cNvPr>
        <xdr:cNvSpPr txBox="1"/>
      </xdr:nvSpPr>
      <xdr:spPr>
        <a:xfrm>
          <a:off x="21308833" y="6827271"/>
          <a:ext cx="1722120" cy="2992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solidFill>
                <a:srgbClr val="3333FF"/>
              </a:solidFill>
            </a:rPr>
            <a:t>Total Adm Fee</a:t>
          </a:r>
        </a:p>
      </xdr:txBody>
    </xdr:sp>
    <xdr:clientData/>
  </xdr:twoCellAnchor>
  <xdr:twoCellAnchor>
    <xdr:from>
      <xdr:col>16</xdr:col>
      <xdr:colOff>331305</xdr:colOff>
      <xdr:row>18</xdr:row>
      <xdr:rowOff>33130</xdr:rowOff>
    </xdr:from>
    <xdr:to>
      <xdr:col>16</xdr:col>
      <xdr:colOff>531330</xdr:colOff>
      <xdr:row>19</xdr:row>
      <xdr:rowOff>301845</xdr:rowOff>
    </xdr:to>
    <xdr:sp macro="" textlink="">
      <xdr:nvSpPr>
        <xdr:cNvPr id="6" name="AutoShape 77">
          <a:extLst>
            <a:ext uri="{FF2B5EF4-FFF2-40B4-BE49-F238E27FC236}">
              <a16:creationId xmlns:a16="http://schemas.microsoft.com/office/drawing/2014/main" id="{DC72E4F3-2DF4-4895-9487-65E54729C3CA}"/>
            </a:ext>
          </a:extLst>
        </xdr:cNvPr>
        <xdr:cNvSpPr>
          <a:spLocks/>
        </xdr:cNvSpPr>
      </xdr:nvSpPr>
      <xdr:spPr bwMode="auto">
        <a:xfrm flipH="1" flipV="1">
          <a:off x="24135522" y="7918173"/>
          <a:ext cx="200025" cy="616585"/>
        </a:xfrm>
        <a:prstGeom prst="rightBrace">
          <a:avLst>
            <a:gd name="adj1" fmla="val 24020"/>
            <a:gd name="adj2" fmla="val 5193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33131</xdr:colOff>
      <xdr:row>16</xdr:row>
      <xdr:rowOff>629478</xdr:rowOff>
    </xdr:from>
    <xdr:to>
      <xdr:col>16</xdr:col>
      <xdr:colOff>281609</xdr:colOff>
      <xdr:row>19</xdr:row>
      <xdr:rowOff>49696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C3B5EAB8-603C-464A-B551-EE2EF39036B7}"/>
            </a:ext>
          </a:extLst>
        </xdr:cNvPr>
        <xdr:cNvCxnSpPr/>
      </xdr:nvCxnSpPr>
      <xdr:spPr>
        <a:xfrm>
          <a:off x="23506044" y="7421217"/>
          <a:ext cx="579782" cy="86139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883920</xdr:colOff>
      <xdr:row>15</xdr:row>
      <xdr:rowOff>45720</xdr:rowOff>
    </xdr:from>
    <xdr:to>
      <xdr:col>16</xdr:col>
      <xdr:colOff>883920</xdr:colOff>
      <xdr:row>15</xdr:row>
      <xdr:rowOff>487680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1953220" y="6187440"/>
          <a:ext cx="0" cy="0"/>
        </a:xfrm>
        <a:prstGeom prst="straightConnector1">
          <a:avLst/>
        </a:prstGeom>
        <a:ln>
          <a:solidFill>
            <a:srgbClr val="7030A0"/>
          </a:solidFill>
          <a:headEnd type="arrow"/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9</xdr:col>
      <xdr:colOff>579662</xdr:colOff>
      <xdr:row>60</xdr:row>
      <xdr:rowOff>0</xdr:rowOff>
    </xdr:from>
    <xdr:ext cx="184731" cy="718466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289822" y="22829520"/>
          <a:ext cx="18473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n-US" sz="40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9</xdr:col>
      <xdr:colOff>579662</xdr:colOff>
      <xdr:row>60</xdr:row>
      <xdr:rowOff>0</xdr:rowOff>
    </xdr:from>
    <xdr:ext cx="184731" cy="718466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289822" y="22829520"/>
          <a:ext cx="18473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n-US" sz="40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dcamps.sharepoint.com/Accounting/Accounting%20Documents/R%20&amp;%20E%20Worksheets/2018%20R&amp;E%20WkShts/LOD/LOD%202018%20Accounting%20R&amp;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dcamps.sharepoint.com/personal/jeff_uccr_org/Documents/Downloads/Email%20#3 - Site Specific Worksheets/TOC/1. TOC 2022 Budget - StaffingBenefitsPlanWksh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dcamps.sharepoint.com/sites/UCCR_Office/OfficeDocuments/Accounting/1.%20Accounting%20Documents/R%20&amp;%20E%20Worksheets/0.%202022%20R&amp;E%20WkShets/TOC/04-2022%20TOC%20R&amp;E%20Updated%20for%20April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dcamps.sharepoint.com/sites/UCCR_Office/OfficeDocuments/Accounting/1.%20Accounting%20Documents/R%20&amp;%20E%20Worksheets/0.%202021%20R&amp;E%20Wkshts/TOC/1.%20TOC%20R&amp;E/2021-08%20TOC%20R&amp;E%20Projection%20@%2010-05-2021%20Upd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ccounting\Accounting%20Documents\R%20&amp;%20E%20Worksheets\2018%20R&amp;E%20WkShts\LOD\LOD%202018%20Accounting%20R&amp;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ccounting\Accounting%20Documents\R%20&amp;%20E%20Worksheets\2018%20R&amp;E%20WkShts\LOD\LOD%20Accounting%20R&amp;E%2004-2018%20Updated%20by%20S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D 2018 Accounting R&amp;E"/>
      <sheetName val="LOD 2018 Approved Budget R&amp;E"/>
      <sheetName val="LOD 2017 Accounting R&amp;E"/>
      <sheetName val="Input Wrksht "/>
      <sheetName val="12 Month 2017"/>
      <sheetName val="Months"/>
      <sheetName val="RTS"/>
      <sheetName val="LOD YTD with PY"/>
      <sheetName val="YTD with PY  "/>
    </sheetNames>
    <sheetDataSet>
      <sheetData sheetId="0">
        <row r="11">
          <cell r="Q11">
            <v>1353.04</v>
          </cell>
        </row>
      </sheetData>
      <sheetData sheetId="1"/>
      <sheetData sheetId="2"/>
      <sheetData sheetId="3">
        <row r="3">
          <cell r="D3" t="str">
            <v>Dec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9">
          <cell r="J19">
            <v>0</v>
          </cell>
          <cell r="L19">
            <v>0</v>
          </cell>
        </row>
        <row r="23">
          <cell r="J23">
            <v>0</v>
          </cell>
          <cell r="L23">
            <v>0</v>
          </cell>
        </row>
        <row r="29">
          <cell r="J29">
            <v>0</v>
          </cell>
          <cell r="L29">
            <v>0</v>
          </cell>
        </row>
        <row r="31">
          <cell r="K31">
            <v>0</v>
          </cell>
          <cell r="L31">
            <v>0</v>
          </cell>
        </row>
      </sheetData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Benefits Wk "/>
      <sheetName val="2021 Staffing Plan"/>
      <sheetName val="2021 Staff Strucure "/>
    </sheetNames>
    <sheetDataSet>
      <sheetData sheetId="0">
        <row r="1">
          <cell r="L1">
            <v>2022</v>
          </cell>
        </row>
        <row r="2">
          <cell r="K2" t="str">
            <v>2022 Budget</v>
          </cell>
        </row>
        <row r="3">
          <cell r="K3" t="str">
            <v>Update for 2022 Budget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 R&amp;E Projection 2022"/>
      <sheetName val="TOC R&amp;E 2022 Budget"/>
      <sheetName val="TOC 2022 Rate"/>
      <sheetName val="TOC 2021 Budget - File"/>
      <sheetName val="2021 TOC Monthly R&amp;E @ 12-31"/>
      <sheetName val="2020 TOC Monthly R&amp;E - NS"/>
      <sheetName val="LOD 2018 Accounting R&amp;E - Prel "/>
      <sheetName val="LOD 2017 Accounting R&amp;E"/>
    </sheetNames>
    <sheetDataSet>
      <sheetData sheetId="0">
        <row r="53">
          <cell r="Q53">
            <v>-12711.329999999958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 2021 R&amp;E - Revised "/>
      <sheetName val="TOC R&amp;E @ 06-30-2021 NS"/>
      <sheetName val="TOC 2021 Budget - File"/>
      <sheetName val="TOC Monthly IncomeStmt 2020"/>
      <sheetName val="TOC R&amp;E @ 05-31-2021 NS"/>
    </sheetNames>
    <sheetDataSet>
      <sheetData sheetId="0">
        <row r="7">
          <cell r="Q7">
            <v>54419.020000000004</v>
          </cell>
        </row>
        <row r="18">
          <cell r="Q18">
            <v>1547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D 2018 Accounting R&amp;E"/>
      <sheetName val="LOD 2018 Approved Budget R&amp;E"/>
      <sheetName val="LOD 2017 Accounting R&amp;E"/>
      <sheetName val="Input Wrksht "/>
      <sheetName val="12 Month 2017"/>
      <sheetName val="Months"/>
      <sheetName val="RTS"/>
      <sheetName val="LOD YTD with PY"/>
      <sheetName val="YTD with PY  "/>
    </sheetNames>
    <sheetDataSet>
      <sheetData sheetId="0">
        <row r="13">
          <cell r="Q13">
            <v>281099.24999999994</v>
          </cell>
        </row>
      </sheetData>
      <sheetData sheetId="1"/>
      <sheetData sheetId="2"/>
      <sheetData sheetId="3">
        <row r="3">
          <cell r="D3" t="str">
            <v>Dec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2846</v>
          </cell>
          <cell r="J7">
            <v>2557.1999999999998</v>
          </cell>
          <cell r="K7">
            <v>6919.5</v>
          </cell>
          <cell r="L7">
            <v>52503.25</v>
          </cell>
          <cell r="M7">
            <v>34875.15</v>
          </cell>
          <cell r="N7">
            <v>2572.25</v>
          </cell>
          <cell r="O7">
            <v>8310.25</v>
          </cell>
          <cell r="P7">
            <v>9939</v>
          </cell>
          <cell r="Q7">
            <v>2038.75</v>
          </cell>
        </row>
        <row r="8">
          <cell r="I8">
            <v>3000</v>
          </cell>
          <cell r="J8">
            <v>0</v>
          </cell>
          <cell r="K8">
            <v>0</v>
          </cell>
          <cell r="L8">
            <v>0</v>
          </cell>
          <cell r="M8">
            <v>900</v>
          </cell>
          <cell r="N8">
            <v>843.75</v>
          </cell>
          <cell r="O8">
            <v>2750</v>
          </cell>
          <cell r="P8">
            <v>0</v>
          </cell>
          <cell r="Q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8420</v>
          </cell>
          <cell r="J9">
            <v>2569.5</v>
          </cell>
          <cell r="K9">
            <v>10114.120000000001</v>
          </cell>
          <cell r="L9">
            <v>46499.02</v>
          </cell>
          <cell r="M9">
            <v>43974.75</v>
          </cell>
          <cell r="N9">
            <v>7109.37</v>
          </cell>
          <cell r="O9">
            <v>17013.349999999999</v>
          </cell>
          <cell r="P9">
            <v>10351</v>
          </cell>
          <cell r="Q9">
            <v>3640</v>
          </cell>
        </row>
        <row r="10">
          <cell r="I10">
            <v>695.04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250</v>
          </cell>
          <cell r="O10">
            <v>515</v>
          </cell>
          <cell r="P10">
            <v>0</v>
          </cell>
          <cell r="Q10">
            <v>0</v>
          </cell>
        </row>
        <row r="11">
          <cell r="N11">
            <v>-2</v>
          </cell>
          <cell r="O11">
            <v>-105</v>
          </cell>
          <cell r="P11">
            <v>0</v>
          </cell>
          <cell r="Q11">
            <v>0</v>
          </cell>
        </row>
        <row r="12">
          <cell r="R12">
            <v>281099.25</v>
          </cell>
        </row>
        <row r="15">
          <cell r="F15">
            <v>1875.48</v>
          </cell>
          <cell r="G15">
            <v>3838.06</v>
          </cell>
          <cell r="H15">
            <v>6781.47</v>
          </cell>
          <cell r="I15">
            <v>5761.29</v>
          </cell>
          <cell r="J15">
            <v>4810.6499999999996</v>
          </cell>
          <cell r="K15">
            <v>8316.31</v>
          </cell>
          <cell r="L15">
            <v>11127.27</v>
          </cell>
          <cell r="M15">
            <v>19522.080000000002</v>
          </cell>
          <cell r="N15">
            <v>5313.23</v>
          </cell>
          <cell r="O15">
            <v>5826.73</v>
          </cell>
          <cell r="P15">
            <v>6425.56</v>
          </cell>
          <cell r="Q15">
            <v>8583.83</v>
          </cell>
        </row>
        <row r="16">
          <cell r="F16">
            <v>71.91</v>
          </cell>
          <cell r="G16">
            <v>0</v>
          </cell>
          <cell r="H16">
            <v>0</v>
          </cell>
          <cell r="I16">
            <v>449.39</v>
          </cell>
          <cell r="J16">
            <v>737.82</v>
          </cell>
          <cell r="K16">
            <v>2234.77</v>
          </cell>
          <cell r="L16">
            <v>6960.37</v>
          </cell>
          <cell r="M16">
            <v>3556.23</v>
          </cell>
          <cell r="N16">
            <v>417.52</v>
          </cell>
          <cell r="O16">
            <v>2380.38</v>
          </cell>
          <cell r="P16">
            <v>1720.85</v>
          </cell>
          <cell r="Q16">
            <v>1728.15</v>
          </cell>
        </row>
        <row r="17">
          <cell r="F17">
            <v>0</v>
          </cell>
          <cell r="G17">
            <v>198.09</v>
          </cell>
          <cell r="H17">
            <v>0</v>
          </cell>
          <cell r="I17">
            <v>107.71</v>
          </cell>
          <cell r="J17">
            <v>88.51</v>
          </cell>
          <cell r="K17">
            <v>203.3</v>
          </cell>
          <cell r="L17">
            <v>746.7</v>
          </cell>
          <cell r="M17">
            <v>144.19</v>
          </cell>
          <cell r="N17">
            <v>0.1</v>
          </cell>
          <cell r="O17">
            <v>16.16</v>
          </cell>
          <cell r="P17">
            <v>0</v>
          </cell>
          <cell r="Q17">
            <v>55.55</v>
          </cell>
        </row>
        <row r="18">
          <cell r="F18">
            <v>1605.53</v>
          </cell>
          <cell r="G18">
            <v>1605.53</v>
          </cell>
          <cell r="H18">
            <v>1605.53</v>
          </cell>
          <cell r="I18">
            <v>1605.53</v>
          </cell>
          <cell r="J18">
            <v>1605.53</v>
          </cell>
          <cell r="K18">
            <v>1605.53</v>
          </cell>
          <cell r="L18">
            <v>1605.53</v>
          </cell>
          <cell r="M18">
            <v>2713.67</v>
          </cell>
          <cell r="N18">
            <v>2713.67</v>
          </cell>
          <cell r="O18">
            <v>2713.67</v>
          </cell>
          <cell r="P18">
            <v>2713.67</v>
          </cell>
          <cell r="Q18">
            <v>-2665.39</v>
          </cell>
        </row>
        <row r="19">
          <cell r="F19">
            <v>1216.6099999999999</v>
          </cell>
          <cell r="G19">
            <v>565.46</v>
          </cell>
          <cell r="H19">
            <v>2679.45</v>
          </cell>
          <cell r="I19">
            <v>2434.19</v>
          </cell>
          <cell r="J19">
            <v>901.44</v>
          </cell>
          <cell r="K19">
            <v>1243.52</v>
          </cell>
          <cell r="L19">
            <v>2880.97</v>
          </cell>
          <cell r="M19">
            <v>4560.93</v>
          </cell>
          <cell r="N19">
            <v>1782.68</v>
          </cell>
          <cell r="O19">
            <v>2040.57</v>
          </cell>
          <cell r="P19">
            <v>1332.27</v>
          </cell>
          <cell r="Q19">
            <v>1836.79</v>
          </cell>
        </row>
        <row r="20">
          <cell r="F20">
            <v>71.81</v>
          </cell>
          <cell r="G20">
            <v>0</v>
          </cell>
          <cell r="H20">
            <v>76.099999999999994</v>
          </cell>
          <cell r="I20">
            <v>0</v>
          </cell>
          <cell r="J20">
            <v>0</v>
          </cell>
          <cell r="K20">
            <v>39</v>
          </cell>
          <cell r="L20">
            <v>0</v>
          </cell>
          <cell r="M20">
            <v>39</v>
          </cell>
          <cell r="N20">
            <v>0</v>
          </cell>
          <cell r="O20">
            <v>11.63</v>
          </cell>
          <cell r="P20">
            <v>39</v>
          </cell>
          <cell r="Q20">
            <v>6.75</v>
          </cell>
        </row>
        <row r="21">
          <cell r="F21">
            <v>192</v>
          </cell>
          <cell r="G21">
            <v>38</v>
          </cell>
          <cell r="H21">
            <v>0</v>
          </cell>
          <cell r="I21">
            <v>256.20999999999998</v>
          </cell>
          <cell r="J21">
            <v>231</v>
          </cell>
          <cell r="K21">
            <v>224.86</v>
          </cell>
          <cell r="L21">
            <v>259.07</v>
          </cell>
          <cell r="M21">
            <v>228</v>
          </cell>
          <cell r="N21">
            <v>362.67</v>
          </cell>
          <cell r="O21">
            <v>0</v>
          </cell>
          <cell r="P21">
            <v>102</v>
          </cell>
          <cell r="Q21">
            <v>26</v>
          </cell>
        </row>
        <row r="22">
          <cell r="F22">
            <v>636.37</v>
          </cell>
          <cell r="G22">
            <v>913.17</v>
          </cell>
          <cell r="H22">
            <v>1011.02</v>
          </cell>
          <cell r="I22">
            <v>2105.4699999999998</v>
          </cell>
          <cell r="J22">
            <v>2110.75</v>
          </cell>
          <cell r="K22">
            <v>2713.86</v>
          </cell>
          <cell r="L22">
            <v>2852.09</v>
          </cell>
          <cell r="M22">
            <v>549.70000000000005</v>
          </cell>
          <cell r="N22">
            <v>1551.96</v>
          </cell>
          <cell r="O22">
            <v>1087.9000000000001</v>
          </cell>
          <cell r="P22">
            <v>784.62</v>
          </cell>
          <cell r="Q22">
            <v>747.26</v>
          </cell>
        </row>
        <row r="23">
          <cell r="F23">
            <v>62.88</v>
          </cell>
          <cell r="G23">
            <v>78</v>
          </cell>
          <cell r="H23">
            <v>320.76</v>
          </cell>
          <cell r="I23">
            <v>0</v>
          </cell>
          <cell r="J23">
            <v>44.62</v>
          </cell>
          <cell r="K23">
            <v>347.88</v>
          </cell>
          <cell r="L23">
            <v>16.399999999999999</v>
          </cell>
          <cell r="M23">
            <v>33.299999999999997</v>
          </cell>
          <cell r="N23">
            <v>64.37</v>
          </cell>
          <cell r="O23">
            <v>0</v>
          </cell>
          <cell r="P23">
            <v>0</v>
          </cell>
          <cell r="Q23">
            <v>252.28</v>
          </cell>
        </row>
        <row r="24">
          <cell r="F24">
            <v>0</v>
          </cell>
          <cell r="G24">
            <v>679.75</v>
          </cell>
          <cell r="H24">
            <v>411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679.75</v>
          </cell>
          <cell r="P24">
            <v>225</v>
          </cell>
          <cell r="Q24">
            <v>526</v>
          </cell>
        </row>
        <row r="25">
          <cell r="F25">
            <v>173.76</v>
          </cell>
          <cell r="G25">
            <v>474.24</v>
          </cell>
          <cell r="H25">
            <v>255.42</v>
          </cell>
          <cell r="I25">
            <v>385.8</v>
          </cell>
          <cell r="J25">
            <v>469.47</v>
          </cell>
          <cell r="K25">
            <v>702.93</v>
          </cell>
          <cell r="L25">
            <v>440.42</v>
          </cell>
          <cell r="M25">
            <v>547.62</v>
          </cell>
          <cell r="N25">
            <v>124.01</v>
          </cell>
          <cell r="O25">
            <v>158.29</v>
          </cell>
          <cell r="P25">
            <v>525.63</v>
          </cell>
          <cell r="Q25">
            <v>418.88</v>
          </cell>
        </row>
        <row r="26">
          <cell r="F26">
            <v>66.17</v>
          </cell>
          <cell r="G26">
            <v>17.25</v>
          </cell>
          <cell r="H26">
            <v>21.94</v>
          </cell>
          <cell r="I26">
            <v>50.35</v>
          </cell>
          <cell r="J26">
            <v>9.5299999999999994</v>
          </cell>
          <cell r="K26">
            <v>138.11000000000001</v>
          </cell>
          <cell r="L26">
            <v>152.18</v>
          </cell>
          <cell r="M26">
            <v>20.239999999999998</v>
          </cell>
          <cell r="N26">
            <v>12.04</v>
          </cell>
          <cell r="O26">
            <v>9.68</v>
          </cell>
          <cell r="P26">
            <v>28.58</v>
          </cell>
          <cell r="Q26">
            <v>78.680000000000007</v>
          </cell>
        </row>
        <row r="27">
          <cell r="F27">
            <v>1419.52</v>
          </cell>
          <cell r="G27">
            <v>1457.29</v>
          </cell>
          <cell r="H27">
            <v>1691.57</v>
          </cell>
          <cell r="I27">
            <v>1679.6</v>
          </cell>
          <cell r="J27">
            <v>1497.03</v>
          </cell>
          <cell r="K27">
            <v>2241.89</v>
          </cell>
          <cell r="L27">
            <v>2897.69</v>
          </cell>
          <cell r="M27">
            <v>4337.28</v>
          </cell>
          <cell r="N27">
            <v>1731.51</v>
          </cell>
          <cell r="O27">
            <v>1863.79</v>
          </cell>
          <cell r="P27">
            <v>1970.35</v>
          </cell>
          <cell r="Q27">
            <v>2055.98</v>
          </cell>
        </row>
        <row r="28">
          <cell r="F28">
            <v>4744</v>
          </cell>
          <cell r="G28">
            <v>4744</v>
          </cell>
          <cell r="H28">
            <v>-9488</v>
          </cell>
          <cell r="I28">
            <v>3590.65</v>
          </cell>
          <cell r="J28">
            <v>1230.4100000000001</v>
          </cell>
          <cell r="K28">
            <v>4088.07</v>
          </cell>
          <cell r="L28">
            <v>23760.54</v>
          </cell>
          <cell r="M28">
            <v>19139.98</v>
          </cell>
          <cell r="N28">
            <v>1265.3499999999999</v>
          </cell>
          <cell r="O28">
            <v>6077.66</v>
          </cell>
          <cell r="P28">
            <v>4869.6000000000004</v>
          </cell>
          <cell r="Q28">
            <v>1318.33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185.8</v>
          </cell>
          <cell r="J29">
            <v>29.13</v>
          </cell>
          <cell r="K29">
            <v>92.9</v>
          </cell>
          <cell r="L29">
            <v>513.71</v>
          </cell>
          <cell r="M29">
            <v>339.24</v>
          </cell>
          <cell r="N29">
            <v>46.61</v>
          </cell>
          <cell r="O29">
            <v>211.38</v>
          </cell>
          <cell r="P29">
            <v>0</v>
          </cell>
          <cell r="Q29">
            <v>-1418.77</v>
          </cell>
        </row>
        <row r="30">
          <cell r="F30">
            <v>0</v>
          </cell>
          <cell r="G30">
            <v>662.78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F31">
            <v>390</v>
          </cell>
          <cell r="G31">
            <v>391</v>
          </cell>
          <cell r="H31">
            <v>390</v>
          </cell>
          <cell r="I31">
            <v>390</v>
          </cell>
          <cell r="J31">
            <v>390</v>
          </cell>
          <cell r="K31">
            <v>390</v>
          </cell>
          <cell r="L31">
            <v>390</v>
          </cell>
          <cell r="M31">
            <v>390</v>
          </cell>
          <cell r="N31">
            <v>390</v>
          </cell>
          <cell r="O31">
            <v>390</v>
          </cell>
          <cell r="P31">
            <v>390</v>
          </cell>
          <cell r="Q31">
            <v>4743.3599999999997</v>
          </cell>
        </row>
        <row r="32">
          <cell r="I32">
            <v>25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O33">
            <v>0</v>
          </cell>
          <cell r="P33"/>
          <cell r="Q33"/>
        </row>
      </sheetData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D 2018 Accounting R&amp;E"/>
      <sheetName val="LOD 2018 Approved Budget R&amp;E"/>
      <sheetName val="LOD 2017 Accounting R&amp;E"/>
      <sheetName val="Input Wrksht "/>
      <sheetName val="RTS"/>
    </sheetNames>
    <sheetDataSet>
      <sheetData sheetId="0">
        <row r="14">
          <cell r="G14">
            <v>14961.04</v>
          </cell>
          <cell r="H14">
            <v>7091</v>
          </cell>
          <cell r="Q14">
            <v>254710.04</v>
          </cell>
        </row>
        <row r="55">
          <cell r="G55">
            <v>19026.520000000004</v>
          </cell>
          <cell r="H55">
            <v>16269.548500000001</v>
          </cell>
        </row>
        <row r="56">
          <cell r="Q56">
            <v>255596.57799999998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5202729.app.netsuite.com/app/reporting/reportrunner.nl?fromreport=667&amp;regtx,tranline,kacct,x,alltranline5,IN,x,x=1166&amp;cr=293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5202729.app.netsuite.com/app/reporting/reportrunner.nl?fromreport=667&amp;regtx,tranline,kacct,x,alltranline5,IN,x,x=1166&amp;cr=293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5202729.app.netsuite.com/app/reporting/reportrunner.nl?fromreport=667&amp;regtx,tranline,kacct,x,alltranline5,IN,x,x=1166&amp;cr=293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7B4E-2474-47F0-A66F-8469CD40B2F9}">
  <sheetPr syncVertical="1" syncRef="D40" transitionEvaluation="1">
    <tabColor rgb="FFFF66FF"/>
    <pageSetUpPr fitToPage="1"/>
  </sheetPr>
  <dimension ref="A1:X65"/>
  <sheetViews>
    <sheetView tabSelected="1" zoomScale="43" zoomScaleNormal="43" workbookViewId="0">
      <pane xSplit="3" ySplit="6" topLeftCell="D40" activePane="bottomRight" state="frozen"/>
      <selection pane="topRight" activeCell="D1" sqref="D1"/>
      <selection pane="bottomLeft" activeCell="A8" sqref="A8"/>
      <selection pane="bottomRight" activeCell="H7" sqref="H7:H10"/>
    </sheetView>
  </sheetViews>
  <sheetFormatPr defaultColWidth="7.77734375" defaultRowHeight="26.25"/>
  <cols>
    <col min="1" max="1" width="27.44140625" style="22" customWidth="1"/>
    <col min="2" max="2" width="19" style="22" customWidth="1"/>
    <col min="3" max="3" width="23.21875" style="22" customWidth="1"/>
    <col min="4" max="15" width="18.21875" style="22" customWidth="1"/>
    <col min="16" max="16" width="4" style="22" customWidth="1"/>
    <col min="17" max="17" width="21.5546875" style="22" customWidth="1"/>
    <col min="18" max="18" width="1.6640625" style="22" customWidth="1"/>
    <col min="19" max="19" width="23.77734375" style="44" hidden="1" customWidth="1"/>
    <col min="20" max="16384" width="7.77734375" style="22"/>
  </cols>
  <sheetData>
    <row r="1" spans="1:19" s="631" customFormat="1" ht="50.45" customHeight="1">
      <c r="A1" s="741" t="s">
        <v>348</v>
      </c>
      <c r="B1" s="741"/>
      <c r="C1" s="741"/>
      <c r="D1" s="742" t="s">
        <v>113</v>
      </c>
      <c r="E1" s="742"/>
      <c r="F1" s="742"/>
      <c r="G1" s="742"/>
      <c r="H1" s="742"/>
      <c r="I1" s="742"/>
      <c r="J1" s="742"/>
      <c r="K1" s="742"/>
      <c r="L1" s="742"/>
      <c r="M1" s="742"/>
      <c r="N1" s="742"/>
      <c r="O1" s="742"/>
      <c r="P1" s="742"/>
      <c r="Q1" s="742"/>
      <c r="R1" s="629"/>
      <c r="S1" s="629"/>
    </row>
    <row r="2" spans="1:19" s="631" customFormat="1" ht="45" customHeight="1">
      <c r="A2" s="741"/>
      <c r="B2" s="741"/>
      <c r="C2" s="741"/>
      <c r="D2" s="745" t="s">
        <v>343</v>
      </c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746"/>
      <c r="R2" s="629"/>
      <c r="S2" s="629"/>
    </row>
    <row r="3" spans="1:19" s="631" customFormat="1" ht="55.15" customHeight="1" thickBot="1">
      <c r="A3" s="741"/>
      <c r="B3" s="741"/>
      <c r="C3" s="741"/>
      <c r="D3" s="745" t="s">
        <v>345</v>
      </c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746"/>
      <c r="Q3" s="746"/>
      <c r="R3" s="632"/>
      <c r="S3" s="632"/>
    </row>
    <row r="4" spans="1:19" s="631" customFormat="1" ht="43.15" customHeight="1">
      <c r="A4" s="732" t="s">
        <v>349</v>
      </c>
      <c r="B4" s="733">
        <v>44735</v>
      </c>
      <c r="C4" s="734" t="s">
        <v>350</v>
      </c>
      <c r="D4" s="752" t="s">
        <v>352</v>
      </c>
      <c r="E4" s="753"/>
      <c r="F4" s="753"/>
      <c r="G4" s="753"/>
      <c r="H4" s="754"/>
      <c r="I4"/>
      <c r="J4"/>
      <c r="K4"/>
      <c r="L4"/>
      <c r="M4"/>
      <c r="N4"/>
      <c r="O4"/>
      <c r="P4" s="11"/>
      <c r="Q4" s="743" t="s">
        <v>315</v>
      </c>
      <c r="R4" s="633"/>
      <c r="S4" s="747" t="s">
        <v>314</v>
      </c>
    </row>
    <row r="5" spans="1:19" ht="64.900000000000006" customHeight="1" thickBot="1">
      <c r="B5" s="634" t="s">
        <v>11</v>
      </c>
      <c r="C5" s="634"/>
      <c r="D5" s="312" t="s">
        <v>351</v>
      </c>
      <c r="E5" s="312" t="s">
        <v>351</v>
      </c>
      <c r="F5" s="312" t="s">
        <v>351</v>
      </c>
      <c r="G5" s="312" t="s">
        <v>351</v>
      </c>
      <c r="H5" s="312" t="s">
        <v>351</v>
      </c>
      <c r="I5" s="635" t="s">
        <v>112</v>
      </c>
      <c r="J5" s="635" t="s">
        <v>112</v>
      </c>
      <c r="K5" s="635" t="s">
        <v>112</v>
      </c>
      <c r="L5" s="635" t="s">
        <v>112</v>
      </c>
      <c r="M5" s="635" t="s">
        <v>112</v>
      </c>
      <c r="N5" s="635" t="s">
        <v>112</v>
      </c>
      <c r="O5" s="635" t="s">
        <v>112</v>
      </c>
      <c r="P5" s="237"/>
      <c r="Q5" s="744"/>
      <c r="R5" s="636"/>
      <c r="S5" s="748"/>
    </row>
    <row r="6" spans="1:19" s="631" customFormat="1" ht="52.5">
      <c r="A6" s="637" t="s">
        <v>15</v>
      </c>
      <c r="B6" s="637"/>
      <c r="C6" s="637"/>
      <c r="D6" s="638" t="s">
        <v>16</v>
      </c>
      <c r="E6" s="638" t="s">
        <v>17</v>
      </c>
      <c r="F6" s="638" t="s">
        <v>18</v>
      </c>
      <c r="G6" s="638" t="s">
        <v>19</v>
      </c>
      <c r="H6" s="639" t="s">
        <v>20</v>
      </c>
      <c r="I6" s="640" t="s">
        <v>21</v>
      </c>
      <c r="J6" s="640" t="s">
        <v>22</v>
      </c>
      <c r="K6" s="640" t="s">
        <v>23</v>
      </c>
      <c r="L6" s="640" t="s">
        <v>24</v>
      </c>
      <c r="M6" s="640" t="s">
        <v>25</v>
      </c>
      <c r="N6" s="640" t="s">
        <v>26</v>
      </c>
      <c r="O6" s="640" t="s">
        <v>27</v>
      </c>
      <c r="P6" s="11"/>
      <c r="Q6" s="641" t="s">
        <v>148</v>
      </c>
      <c r="R6" s="642"/>
      <c r="S6" s="643" t="s">
        <v>303</v>
      </c>
    </row>
    <row r="7" spans="1:19" s="44" customFormat="1" ht="34.5" customHeight="1">
      <c r="A7" s="453" t="s">
        <v>170</v>
      </c>
      <c r="B7" s="241"/>
      <c r="C7" s="644"/>
      <c r="D7" s="587">
        <v>0</v>
      </c>
      <c r="E7" s="587">
        <v>533</v>
      </c>
      <c r="F7" s="587">
        <v>5073</v>
      </c>
      <c r="G7" s="587">
        <v>6319.5</v>
      </c>
      <c r="H7" s="587">
        <v>7142</v>
      </c>
      <c r="I7" s="583">
        <v>32437</v>
      </c>
      <c r="J7" s="645">
        <v>36900</v>
      </c>
      <c r="K7" s="645">
        <v>18476</v>
      </c>
      <c r="L7" s="645">
        <v>20820</v>
      </c>
      <c r="M7" s="645">
        <v>18073</v>
      </c>
      <c r="N7" s="645">
        <v>6386</v>
      </c>
      <c r="O7" s="645">
        <v>5975</v>
      </c>
      <c r="P7" s="646"/>
      <c r="Q7" s="645">
        <f t="shared" ref="Q7:Q11" si="0">SUM(D7:O7)</f>
        <v>158134.5</v>
      </c>
      <c r="R7" s="243" t="s">
        <v>11</v>
      </c>
      <c r="S7" s="573">
        <v>162700</v>
      </c>
    </row>
    <row r="8" spans="1:19" s="44" customFormat="1" ht="35.1" customHeight="1">
      <c r="A8" s="453" t="s">
        <v>171</v>
      </c>
      <c r="B8" s="241"/>
      <c r="C8" s="644"/>
      <c r="D8" s="587">
        <v>0</v>
      </c>
      <c r="E8" s="587">
        <v>1295.2</v>
      </c>
      <c r="F8" s="587">
        <v>8613.2000000000007</v>
      </c>
      <c r="G8" s="587">
        <v>11806</v>
      </c>
      <c r="H8" s="587">
        <v>13636.94</v>
      </c>
      <c r="I8" s="583">
        <v>33620</v>
      </c>
      <c r="J8" s="645">
        <v>39850</v>
      </c>
      <c r="K8" s="645">
        <v>22721</v>
      </c>
      <c r="L8" s="645">
        <v>40961</v>
      </c>
      <c r="M8" s="645">
        <v>33312</v>
      </c>
      <c r="N8" s="645">
        <v>12432</v>
      </c>
      <c r="O8" s="645">
        <v>10550</v>
      </c>
      <c r="P8" s="646"/>
      <c r="Q8" s="645">
        <f t="shared" si="0"/>
        <v>228797.34</v>
      </c>
      <c r="R8" s="243" t="s">
        <v>11</v>
      </c>
      <c r="S8" s="573">
        <v>213900</v>
      </c>
    </row>
    <row r="9" spans="1:19" s="44" customFormat="1" ht="35.1" customHeight="1">
      <c r="A9" s="622" t="s">
        <v>336</v>
      </c>
      <c r="B9" s="623"/>
      <c r="C9" s="240"/>
      <c r="D9" s="587"/>
      <c r="E9" s="587"/>
      <c r="F9" s="587"/>
      <c r="G9" s="587"/>
      <c r="H9" s="587"/>
      <c r="I9" s="740">
        <v>14700</v>
      </c>
      <c r="J9" s="585">
        <v>0</v>
      </c>
      <c r="K9" s="585">
        <v>0</v>
      </c>
      <c r="L9" s="585">
        <v>0</v>
      </c>
      <c r="M9" s="585">
        <v>0</v>
      </c>
      <c r="N9" s="585">
        <v>0</v>
      </c>
      <c r="O9" s="585">
        <v>0</v>
      </c>
      <c r="P9" s="646"/>
      <c r="Q9" s="645">
        <f t="shared" si="0"/>
        <v>14700</v>
      </c>
      <c r="R9" s="243" t="s">
        <v>11</v>
      </c>
      <c r="S9" s="573" t="s">
        <v>11</v>
      </c>
    </row>
    <row r="10" spans="1:19" s="44" customFormat="1" ht="34.5" customHeight="1">
      <c r="A10" s="466" t="s">
        <v>172</v>
      </c>
      <c r="B10" s="241"/>
      <c r="C10" s="644"/>
      <c r="D10" s="588">
        <v>0</v>
      </c>
      <c r="E10" s="588">
        <v>0</v>
      </c>
      <c r="F10" s="588">
        <v>0</v>
      </c>
      <c r="G10" s="588">
        <v>0</v>
      </c>
      <c r="H10" s="587">
        <v>620</v>
      </c>
      <c r="I10" s="583">
        <v>2200</v>
      </c>
      <c r="J10" s="645">
        <v>1400</v>
      </c>
      <c r="K10" s="585">
        <v>0</v>
      </c>
      <c r="L10" s="585">
        <v>0</v>
      </c>
      <c r="M10" s="585">
        <v>0</v>
      </c>
      <c r="N10" s="585">
        <v>0</v>
      </c>
      <c r="O10" s="585">
        <v>0</v>
      </c>
      <c r="P10" s="646"/>
      <c r="Q10" s="645">
        <f t="shared" si="0"/>
        <v>4220</v>
      </c>
      <c r="R10" s="243" t="s">
        <v>11</v>
      </c>
      <c r="S10" s="573">
        <v>12700</v>
      </c>
    </row>
    <row r="11" spans="1:19" s="44" customFormat="1" ht="35.1" customHeight="1">
      <c r="A11" s="466" t="s">
        <v>317</v>
      </c>
      <c r="B11" s="466"/>
      <c r="C11" s="644"/>
      <c r="D11" s="588">
        <v>0</v>
      </c>
      <c r="E11" s="587">
        <v>-91.41</v>
      </c>
      <c r="F11" s="587">
        <v>-392.56</v>
      </c>
      <c r="G11" s="588">
        <v>0</v>
      </c>
      <c r="H11" s="588">
        <f>'[1]Input Wrksht '!J10</f>
        <v>0</v>
      </c>
      <c r="I11" s="510">
        <f>'[1]Input Wrksht '!K10</f>
        <v>0</v>
      </c>
      <c r="J11" s="510">
        <f>'[1]Input Wrksht '!L10</f>
        <v>0</v>
      </c>
      <c r="K11" s="510">
        <v>0</v>
      </c>
      <c r="L11" s="510">
        <v>0</v>
      </c>
      <c r="M11" s="510">
        <v>0</v>
      </c>
      <c r="N11" s="510">
        <v>0</v>
      </c>
      <c r="O11" s="510">
        <v>0</v>
      </c>
      <c r="P11" s="646"/>
      <c r="Q11" s="645">
        <f t="shared" si="0"/>
        <v>-483.97</v>
      </c>
      <c r="R11" s="243" t="s">
        <v>11</v>
      </c>
      <c r="S11" s="573">
        <v>0</v>
      </c>
    </row>
    <row r="12" spans="1:19" s="44" customFormat="1" ht="35.1" customHeight="1">
      <c r="A12" s="22"/>
      <c r="B12" s="647"/>
      <c r="C12" s="647"/>
      <c r="D12" s="648"/>
      <c r="E12" s="648"/>
      <c r="F12" s="648"/>
      <c r="G12" s="648"/>
      <c r="H12" s="648"/>
      <c r="I12" s="647"/>
      <c r="J12" s="647"/>
      <c r="K12" s="647"/>
      <c r="L12" s="647"/>
      <c r="M12" s="647"/>
      <c r="N12" s="647"/>
      <c r="O12" s="647" t="s">
        <v>11</v>
      </c>
      <c r="P12" s="647"/>
      <c r="Q12" s="649"/>
      <c r="R12" s="243" t="s">
        <v>11</v>
      </c>
    </row>
    <row r="13" spans="1:19" ht="25.5" customHeight="1" thickBot="1">
      <c r="A13" s="630"/>
      <c r="B13" s="650" t="s">
        <v>37</v>
      </c>
      <c r="C13" s="650"/>
      <c r="D13" s="651">
        <f t="shared" ref="D13:N13" si="1">SUM(D7:D12)</f>
        <v>0</v>
      </c>
      <c r="E13" s="651">
        <f t="shared" si="1"/>
        <v>1736.79</v>
      </c>
      <c r="F13" s="651">
        <f t="shared" si="1"/>
        <v>13293.640000000001</v>
      </c>
      <c r="G13" s="651">
        <f t="shared" si="1"/>
        <v>18125.5</v>
      </c>
      <c r="H13" s="652">
        <f t="shared" si="1"/>
        <v>21398.940000000002</v>
      </c>
      <c r="I13" s="653">
        <f t="shared" si="1"/>
        <v>82957</v>
      </c>
      <c r="J13" s="653">
        <f t="shared" si="1"/>
        <v>78150</v>
      </c>
      <c r="K13" s="654">
        <f t="shared" si="1"/>
        <v>41197</v>
      </c>
      <c r="L13" s="654">
        <f t="shared" si="1"/>
        <v>61781</v>
      </c>
      <c r="M13" s="654">
        <f t="shared" si="1"/>
        <v>51385</v>
      </c>
      <c r="N13" s="654">
        <f t="shared" si="1"/>
        <v>18818</v>
      </c>
      <c r="O13" s="655">
        <f>SUM(O7:O11)</f>
        <v>16525</v>
      </c>
      <c r="P13" s="646"/>
      <c r="Q13" s="656">
        <f>SUM(Q7:Q11)</f>
        <v>405367.87</v>
      </c>
      <c r="R13" s="243" t="s">
        <v>11</v>
      </c>
      <c r="S13" s="657">
        <f>ROUND((SUM(S7:S12)),-1)</f>
        <v>389300</v>
      </c>
    </row>
    <row r="14" spans="1:19" s="630" customFormat="1" ht="19.149999999999999" customHeight="1" thickTop="1">
      <c r="A14" s="658"/>
      <c r="B14" s="432"/>
      <c r="C14" s="433"/>
      <c r="D14" s="659"/>
      <c r="E14" s="659"/>
      <c r="F14" s="659"/>
      <c r="G14" s="659"/>
      <c r="H14" s="659"/>
      <c r="I14" s="660"/>
      <c r="J14" s="661"/>
      <c r="K14" s="661"/>
      <c r="L14" s="661"/>
      <c r="M14" s="661"/>
      <c r="N14" s="661"/>
      <c r="O14" s="661"/>
      <c r="P14" s="662"/>
      <c r="Q14" s="663"/>
      <c r="R14" s="243" t="s">
        <v>11</v>
      </c>
      <c r="S14" s="243" t="s">
        <v>11</v>
      </c>
    </row>
    <row r="15" spans="1:19" ht="30" customHeight="1">
      <c r="A15" s="596" t="s">
        <v>327</v>
      </c>
      <c r="B15" s="461"/>
      <c r="C15" s="233"/>
      <c r="D15" s="571">
        <v>0</v>
      </c>
      <c r="E15" s="571">
        <v>40</v>
      </c>
      <c r="F15" s="571">
        <v>125</v>
      </c>
      <c r="G15" s="571">
        <v>150</v>
      </c>
      <c r="H15" s="571">
        <v>350</v>
      </c>
      <c r="I15" s="735">
        <v>1000</v>
      </c>
      <c r="J15" s="735">
        <v>1200</v>
      </c>
      <c r="K15" s="735">
        <v>825</v>
      </c>
      <c r="L15" s="735">
        <v>750</v>
      </c>
      <c r="M15" s="735">
        <v>800</v>
      </c>
      <c r="N15" s="735">
        <v>350</v>
      </c>
      <c r="O15" s="735">
        <v>50</v>
      </c>
      <c r="P15" s="11"/>
      <c r="Q15" s="736">
        <f>SUM(D15:O15)</f>
        <v>5640</v>
      </c>
      <c r="R15" s="243" t="s">
        <v>11</v>
      </c>
      <c r="S15" s="284">
        <v>5640</v>
      </c>
    </row>
    <row r="16" spans="1:19" ht="18" customHeight="1">
      <c r="A16" s="664"/>
      <c r="B16" s="665"/>
      <c r="C16" s="666"/>
      <c r="D16" s="667"/>
      <c r="E16" s="667"/>
      <c r="F16" s="667"/>
      <c r="G16" s="667"/>
      <c r="H16" s="667"/>
      <c r="I16" s="668"/>
      <c r="J16" s="291"/>
      <c r="K16" s="668"/>
      <c r="L16" s="668"/>
      <c r="M16" s="668"/>
      <c r="N16" s="668"/>
      <c r="O16" s="668"/>
      <c r="S16" s="22"/>
    </row>
    <row r="17" spans="1:19" s="105" customFormat="1" ht="54.6" customHeight="1">
      <c r="A17" s="669" t="s">
        <v>42</v>
      </c>
      <c r="B17" s="670"/>
      <c r="C17" s="670"/>
      <c r="D17" s="572"/>
      <c r="E17" s="671"/>
      <c r="F17" s="572"/>
      <c r="G17" s="672"/>
      <c r="H17" s="672"/>
      <c r="I17" s="673"/>
      <c r="J17" s="673"/>
      <c r="K17" s="673"/>
      <c r="L17" s="673"/>
      <c r="M17" s="673"/>
      <c r="N17" s="673"/>
      <c r="O17" s="674" t="s">
        <v>11</v>
      </c>
      <c r="P17" s="646"/>
      <c r="Q17" s="641" t="s">
        <v>147</v>
      </c>
      <c r="R17" s="243" t="s">
        <v>11</v>
      </c>
      <c r="S17" s="675" t="s">
        <v>44</v>
      </c>
    </row>
    <row r="18" spans="1:19" s="105" customFormat="1" ht="31.5" customHeight="1">
      <c r="A18" s="451"/>
      <c r="B18" s="451" t="s">
        <v>11</v>
      </c>
      <c r="C18" s="451"/>
      <c r="D18" s="676" t="str">
        <f t="shared" ref="D18:O18" si="2">IF((+D$7+D$8)=0," ",D19/(+D$7+D$8))</f>
        <v xml:space="preserve"> </v>
      </c>
      <c r="E18" s="676">
        <f t="shared" si="2"/>
        <v>0.24067388688327315</v>
      </c>
      <c r="F18" s="676">
        <f t="shared" si="2"/>
        <v>0.23965746518390788</v>
      </c>
      <c r="G18" s="676">
        <f t="shared" si="2"/>
        <v>0.2399933794929795</v>
      </c>
      <c r="H18" s="676">
        <f t="shared" si="2"/>
        <v>0.24014699498626974</v>
      </c>
      <c r="I18" s="677">
        <f t="shared" si="2"/>
        <v>0.23994429053696051</v>
      </c>
      <c r="J18" s="677">
        <f t="shared" si="2"/>
        <v>0.24</v>
      </c>
      <c r="K18" s="677">
        <f t="shared" si="2"/>
        <v>0.24006602422506493</v>
      </c>
      <c r="L18" s="677">
        <f t="shared" si="2"/>
        <v>0.24004143668765479</v>
      </c>
      <c r="M18" s="678">
        <f t="shared" si="2"/>
        <v>0.23995329376277125</v>
      </c>
      <c r="N18" s="678">
        <f t="shared" si="2"/>
        <v>0.24019555744499946</v>
      </c>
      <c r="O18" s="678">
        <f t="shared" si="2"/>
        <v>0.24024205748865354</v>
      </c>
      <c r="P18" s="11"/>
      <c r="Q18" s="679">
        <f>IF((+Q$7+Q$8)=0," ",Q19/(+Q$7+Q$8))</f>
        <v>0.24001643286838326</v>
      </c>
      <c r="R18" s="243" t="s">
        <v>11</v>
      </c>
      <c r="S18" s="680">
        <f>IF((+S$7+S$8)=0," ",S19/(+S$7+S$8))</f>
        <v>0.23998937865108869</v>
      </c>
    </row>
    <row r="19" spans="1:19" s="631" customFormat="1" ht="27">
      <c r="A19" s="467" t="s">
        <v>174</v>
      </c>
      <c r="B19" s="467"/>
      <c r="C19" s="467"/>
      <c r="D19" s="681" t="s">
        <v>11</v>
      </c>
      <c r="E19" s="681">
        <f t="shared" ref="E19:O19" si="3">ROUND((E7+E8)*24%,-1)</f>
        <v>440</v>
      </c>
      <c r="F19" s="681">
        <f t="shared" si="3"/>
        <v>3280</v>
      </c>
      <c r="G19" s="681">
        <f t="shared" si="3"/>
        <v>4350</v>
      </c>
      <c r="H19" s="681">
        <f t="shared" si="3"/>
        <v>4990</v>
      </c>
      <c r="I19" s="682">
        <f t="shared" si="3"/>
        <v>15850</v>
      </c>
      <c r="J19" s="682">
        <f t="shared" si="3"/>
        <v>18420</v>
      </c>
      <c r="K19" s="682">
        <f t="shared" si="3"/>
        <v>9890</v>
      </c>
      <c r="L19" s="682">
        <f t="shared" si="3"/>
        <v>14830</v>
      </c>
      <c r="M19" s="682">
        <f t="shared" si="3"/>
        <v>12330</v>
      </c>
      <c r="N19" s="682">
        <f t="shared" si="3"/>
        <v>4520</v>
      </c>
      <c r="O19" s="682">
        <f t="shared" si="3"/>
        <v>3970</v>
      </c>
      <c r="P19" s="267"/>
      <c r="Q19" s="682">
        <f>SUM(D19:O19)</f>
        <v>92870</v>
      </c>
      <c r="R19" s="243" t="s">
        <v>11</v>
      </c>
      <c r="S19" s="683">
        <v>90380</v>
      </c>
    </row>
    <row r="20" spans="1:19" s="451" customFormat="1" ht="27" customHeight="1">
      <c r="A20" s="464"/>
      <c r="B20" s="464"/>
      <c r="C20" s="464"/>
      <c r="D20" s="684" t="str">
        <f t="shared" ref="D20:O20" si="4">IF((+D$7+D$8)=0," ",(+D21+D22)/(+D$7+D$8))</f>
        <v xml:space="preserve"> </v>
      </c>
      <c r="E20" s="684">
        <f t="shared" si="4"/>
        <v>4.463514318031665</v>
      </c>
      <c r="F20" s="684">
        <f t="shared" si="4"/>
        <v>0.62505764269729247</v>
      </c>
      <c r="G20" s="684">
        <f t="shared" si="4"/>
        <v>0.37765563985650813</v>
      </c>
      <c r="H20" s="684">
        <f t="shared" si="4"/>
        <v>0.32148855954735694</v>
      </c>
      <c r="I20" s="685">
        <f t="shared" si="4"/>
        <v>0.20602788041483369</v>
      </c>
      <c r="J20" s="685">
        <f t="shared" si="4"/>
        <v>0.23954703549398981</v>
      </c>
      <c r="K20" s="685">
        <f t="shared" si="4"/>
        <v>0.20504492042136058</v>
      </c>
      <c r="L20" s="685">
        <f t="shared" si="4"/>
        <v>0.17206317773171503</v>
      </c>
      <c r="M20" s="685">
        <f t="shared" si="4"/>
        <v>0.18511696977736875</v>
      </c>
      <c r="N20" s="685">
        <f t="shared" si="4"/>
        <v>0.27102961494939137</v>
      </c>
      <c r="O20" s="685">
        <f t="shared" si="4"/>
        <v>0.52769955169398608</v>
      </c>
      <c r="P20" s="464"/>
      <c r="Q20" s="685">
        <f>IF((+Q$7+Q$8)=0," ",(+Q21+Q22)/(+Q$7+Q$8))</f>
        <v>0.29215247448497322</v>
      </c>
      <c r="R20" s="243" t="s">
        <v>11</v>
      </c>
      <c r="S20" s="686">
        <f>IF((+S$7+S$8)=0," ",(+S21+S22)/(+S$7+S$8))</f>
        <v>0.2602767930352905</v>
      </c>
    </row>
    <row r="21" spans="1:19" s="630" customFormat="1" ht="35.1" customHeight="1">
      <c r="A21" s="453" t="s">
        <v>155</v>
      </c>
      <c r="B21" s="453"/>
      <c r="C21" s="453"/>
      <c r="D21" s="589">
        <v>8400</v>
      </c>
      <c r="E21" s="589">
        <v>8160</v>
      </c>
      <c r="F21" s="589">
        <v>8554.48</v>
      </c>
      <c r="G21" s="589">
        <v>6845</v>
      </c>
      <c r="H21" s="589">
        <v>6680</v>
      </c>
      <c r="I21" s="568">
        <v>13609.4</v>
      </c>
      <c r="J21" s="568">
        <v>18385</v>
      </c>
      <c r="K21" s="568">
        <v>8447</v>
      </c>
      <c r="L21" s="568">
        <v>10630</v>
      </c>
      <c r="M21" s="568">
        <v>9512</v>
      </c>
      <c r="N21" s="568">
        <v>5100</v>
      </c>
      <c r="O21" s="568">
        <v>8720</v>
      </c>
      <c r="P21" s="687"/>
      <c r="Q21" s="688">
        <f>SUM(D21:O21)</f>
        <v>113042.88</v>
      </c>
      <c r="R21" s="243" t="s">
        <v>11</v>
      </c>
      <c r="S21" s="689">
        <v>98020</v>
      </c>
    </row>
    <row r="22" spans="1:19" s="451" customFormat="1" ht="27" customHeight="1">
      <c r="A22" s="464"/>
      <c r="B22" s="464"/>
      <c r="C22" s="464"/>
      <c r="D22" s="690">
        <f t="shared" ref="D22:O22" si="5">IF(+D$21=0," ",D23/+D$21)</f>
        <v>0.19520714285714286</v>
      </c>
      <c r="E22" s="690">
        <f t="shared" si="5"/>
        <v>0.19687622549019607</v>
      </c>
      <c r="F22" s="690">
        <f t="shared" si="5"/>
        <v>0.18390948368574128</v>
      </c>
      <c r="G22" s="690">
        <f t="shared" si="5"/>
        <v>0.19730021913805698</v>
      </c>
      <c r="H22" s="690">
        <f t="shared" si="5"/>
        <v>0.19148952095808386</v>
      </c>
      <c r="I22" s="691">
        <f t="shared" si="5"/>
        <v>0.18369656266991932</v>
      </c>
      <c r="J22" s="685">
        <f t="shared" si="5"/>
        <v>0.23497416372042426</v>
      </c>
      <c r="K22" s="685">
        <f t="shared" si="5"/>
        <v>0.23558659879247071</v>
      </c>
      <c r="L22" s="685">
        <f t="shared" si="5"/>
        <v>0.23518344308560676</v>
      </c>
      <c r="M22" s="685">
        <f t="shared" si="5"/>
        <v>0.23549201009251472</v>
      </c>
      <c r="N22" s="685">
        <f t="shared" si="5"/>
        <v>0.23529411764705882</v>
      </c>
      <c r="O22" s="685">
        <f t="shared" si="5"/>
        <v>0.23509174311926606</v>
      </c>
      <c r="P22" s="692"/>
      <c r="Q22" s="685">
        <f t="shared" ref="Q22:S22" si="6">IF(+Q$21=0," ",Q23/+Q$21)</f>
        <v>0.21451302373046402</v>
      </c>
      <c r="R22" s="243" t="s">
        <v>11</v>
      </c>
      <c r="S22" s="686">
        <f t="shared" si="6"/>
        <v>0.24025709038971638</v>
      </c>
    </row>
    <row r="23" spans="1:19" s="44" customFormat="1" ht="34.5" customHeight="1">
      <c r="A23" s="453" t="s">
        <v>167</v>
      </c>
      <c r="B23" s="453"/>
      <c r="C23" s="453"/>
      <c r="D23" s="589">
        <v>1639.74</v>
      </c>
      <c r="E23" s="589">
        <v>1606.51</v>
      </c>
      <c r="F23" s="589">
        <v>1573.25</v>
      </c>
      <c r="G23" s="589">
        <v>1350.52</v>
      </c>
      <c r="H23" s="589">
        <v>1279.1500000000001</v>
      </c>
      <c r="I23" s="568">
        <v>2500</v>
      </c>
      <c r="J23" s="693">
        <f t="shared" ref="J23:O23" si="7">ROUND((J21*23.5%),-1)</f>
        <v>4320</v>
      </c>
      <c r="K23" s="693">
        <f t="shared" si="7"/>
        <v>1990</v>
      </c>
      <c r="L23" s="693">
        <f t="shared" si="7"/>
        <v>2500</v>
      </c>
      <c r="M23" s="693">
        <f t="shared" si="7"/>
        <v>2240</v>
      </c>
      <c r="N23" s="693">
        <f t="shared" si="7"/>
        <v>1200</v>
      </c>
      <c r="O23" s="693">
        <f t="shared" si="7"/>
        <v>2050</v>
      </c>
      <c r="P23" s="687"/>
      <c r="Q23" s="688">
        <f t="shared" ref="Q23:Q47" si="8">SUM(D23:O23)</f>
        <v>24249.17</v>
      </c>
      <c r="R23" s="243" t="s">
        <v>11</v>
      </c>
      <c r="S23" s="689">
        <v>23550</v>
      </c>
    </row>
    <row r="24" spans="1:19" s="451" customFormat="1" ht="27" customHeight="1">
      <c r="A24" s="464"/>
      <c r="B24" s="464"/>
      <c r="C24" s="464"/>
      <c r="D24" s="694" t="str">
        <f t="shared" ref="D24:O24" si="9">IF((+D$7+D$8)=0," ",D25/(+D$7+D$8))</f>
        <v xml:space="preserve"> </v>
      </c>
      <c r="E24" s="694">
        <f t="shared" si="9"/>
        <v>0</v>
      </c>
      <c r="F24" s="694">
        <f t="shared" si="9"/>
        <v>8.3295582411480173E-3</v>
      </c>
      <c r="G24" s="694">
        <f t="shared" si="9"/>
        <v>4.9377948194532567E-3</v>
      </c>
      <c r="H24" s="694">
        <f t="shared" si="9"/>
        <v>0</v>
      </c>
      <c r="I24" s="695">
        <f t="shared" si="9"/>
        <v>4.541532313002407E-3</v>
      </c>
      <c r="J24" s="696">
        <f t="shared" si="9"/>
        <v>0</v>
      </c>
      <c r="K24" s="696">
        <f t="shared" si="9"/>
        <v>0</v>
      </c>
      <c r="L24" s="696">
        <f t="shared" si="9"/>
        <v>0</v>
      </c>
      <c r="M24" s="696">
        <f t="shared" si="9"/>
        <v>0</v>
      </c>
      <c r="N24" s="696">
        <f t="shared" si="9"/>
        <v>0</v>
      </c>
      <c r="O24" s="696">
        <f t="shared" si="9"/>
        <v>1.8154311649016642E-2</v>
      </c>
      <c r="P24" s="464"/>
      <c r="Q24" s="696">
        <f>IF((+Q$7+Q$8)=0," ",(+Q25+Q26)/(+Q$7+Q$8))</f>
        <v>2.0772669380278649E-3</v>
      </c>
      <c r="R24" s="243" t="s">
        <v>11</v>
      </c>
      <c r="S24" s="697">
        <v>2.9215082641863067E-3</v>
      </c>
    </row>
    <row r="25" spans="1:19" s="44" customFormat="1" ht="35.1" customHeight="1">
      <c r="A25" s="453" t="s">
        <v>168</v>
      </c>
      <c r="B25" s="453"/>
      <c r="C25" s="453"/>
      <c r="D25" s="589">
        <v>0</v>
      </c>
      <c r="E25" s="589">
        <v>0</v>
      </c>
      <c r="F25" s="589">
        <v>114</v>
      </c>
      <c r="G25" s="589">
        <v>89.5</v>
      </c>
      <c r="H25" s="589">
        <v>0</v>
      </c>
      <c r="I25" s="568">
        <v>300</v>
      </c>
      <c r="J25" s="693">
        <v>0</v>
      </c>
      <c r="K25" s="693">
        <v>0</v>
      </c>
      <c r="L25" s="693">
        <v>0</v>
      </c>
      <c r="M25" s="693">
        <v>0</v>
      </c>
      <c r="N25" s="693">
        <v>0</v>
      </c>
      <c r="O25" s="693">
        <v>300</v>
      </c>
      <c r="P25" s="687"/>
      <c r="Q25" s="688">
        <f t="shared" si="8"/>
        <v>803.5</v>
      </c>
      <c r="R25" s="243" t="s">
        <v>11</v>
      </c>
      <c r="S25" s="689">
        <v>1100</v>
      </c>
    </row>
    <row r="26" spans="1:19" s="451" customFormat="1" ht="27" customHeight="1">
      <c r="A26" s="464"/>
      <c r="B26" s="464"/>
      <c r="C26" s="464"/>
      <c r="D26" s="694" t="str">
        <f t="shared" ref="D26:O26" si="10">IF(+D$7=0," ",D27/+D$7)</f>
        <v xml:space="preserve"> </v>
      </c>
      <c r="E26" s="694">
        <f t="shared" si="10"/>
        <v>0.92369606003752347</v>
      </c>
      <c r="F26" s="694">
        <f t="shared" si="10"/>
        <v>0.63590774689532825</v>
      </c>
      <c r="G26" s="694">
        <f t="shared" si="10"/>
        <v>0.17516417438088458</v>
      </c>
      <c r="H26" s="694">
        <f t="shared" si="10"/>
        <v>0.4125483057966956</v>
      </c>
      <c r="I26" s="695">
        <f t="shared" si="10"/>
        <v>0.23984955452107162</v>
      </c>
      <c r="J26" s="696">
        <f t="shared" si="10"/>
        <v>0.24010840108401085</v>
      </c>
      <c r="K26" s="696">
        <f t="shared" si="10"/>
        <v>0.23977051309807318</v>
      </c>
      <c r="L26" s="696">
        <f t="shared" si="10"/>
        <v>0.24063400576368876</v>
      </c>
      <c r="M26" s="696">
        <f t="shared" si="10"/>
        <v>0.24013722126929674</v>
      </c>
      <c r="N26" s="696">
        <f t="shared" si="10"/>
        <v>0.23958659567804572</v>
      </c>
      <c r="O26" s="696">
        <f t="shared" si="10"/>
        <v>0.23933054393305439</v>
      </c>
      <c r="P26" s="464"/>
      <c r="Q26" s="698">
        <f>IF(+Q$7=0," ",Q27/+Q$7)</f>
        <v>0.26071850228760957</v>
      </c>
      <c r="R26" s="243" t="s">
        <v>11</v>
      </c>
      <c r="S26" s="699">
        <f>IF(+S$7=0," ",S27/+S$7)</f>
        <v>0.24001229256299939</v>
      </c>
    </row>
    <row r="27" spans="1:19" s="44" customFormat="1" ht="35.1" customHeight="1">
      <c r="A27" s="453" t="s">
        <v>156</v>
      </c>
      <c r="B27" s="453"/>
      <c r="C27" s="453"/>
      <c r="D27" s="589">
        <v>76.930000000000007</v>
      </c>
      <c r="E27" s="589">
        <v>492.33</v>
      </c>
      <c r="F27" s="589">
        <v>3225.96</v>
      </c>
      <c r="G27" s="589">
        <v>1106.95</v>
      </c>
      <c r="H27" s="589">
        <v>2946.42</v>
      </c>
      <c r="I27" s="568">
        <f>ROUND((I7*24%),-1)</f>
        <v>7780</v>
      </c>
      <c r="J27" s="693">
        <f>ROUND((J7*24%),-1)</f>
        <v>8860</v>
      </c>
      <c r="K27" s="693">
        <f>ROUND((K7*24%),-1)</f>
        <v>4430</v>
      </c>
      <c r="L27" s="693">
        <f>ROUND((L7*24%),-1)+10</f>
        <v>5010</v>
      </c>
      <c r="M27" s="693">
        <f>ROUND((M7*24%),-1)</f>
        <v>4340</v>
      </c>
      <c r="N27" s="693">
        <f>ROUND((N7*24%),-1)</f>
        <v>1530</v>
      </c>
      <c r="O27" s="693">
        <f>ROUND((O7*24%),-1)</f>
        <v>1430</v>
      </c>
      <c r="P27" s="687"/>
      <c r="Q27" s="688">
        <f t="shared" si="8"/>
        <v>41228.589999999997</v>
      </c>
      <c r="R27" s="243" t="s">
        <v>11</v>
      </c>
      <c r="S27" s="689">
        <v>39050</v>
      </c>
    </row>
    <row r="28" spans="1:19" s="451" customFormat="1" ht="27" customHeight="1">
      <c r="A28" s="464"/>
      <c r="B28" s="464"/>
      <c r="C28" s="464"/>
      <c r="D28" s="694" t="str">
        <f t="shared" ref="D28:O28" si="11">IF((+D$7+D$8)=0," ",D29/(+D$7+D$8))</f>
        <v xml:space="preserve"> </v>
      </c>
      <c r="E28" s="694">
        <f t="shared" si="11"/>
        <v>0</v>
      </c>
      <c r="F28" s="694">
        <f t="shared" si="11"/>
        <v>3.2419517470152412E-3</v>
      </c>
      <c r="G28" s="694">
        <f t="shared" si="11"/>
        <v>0</v>
      </c>
      <c r="H28" s="694">
        <f t="shared" si="11"/>
        <v>1.1983286924164562E-4</v>
      </c>
      <c r="I28" s="695">
        <f t="shared" si="11"/>
        <v>1.8923051304176697E-3</v>
      </c>
      <c r="J28" s="696">
        <f t="shared" si="11"/>
        <v>1.6286644951140066E-3</v>
      </c>
      <c r="K28" s="696">
        <f t="shared" si="11"/>
        <v>3.0342015195281209E-3</v>
      </c>
      <c r="L28" s="696">
        <f t="shared" si="11"/>
        <v>2.0232757643935837E-3</v>
      </c>
      <c r="M28" s="696">
        <f t="shared" si="11"/>
        <v>9.7304660893256787E-4</v>
      </c>
      <c r="N28" s="696">
        <f t="shared" si="11"/>
        <v>0</v>
      </c>
      <c r="O28" s="696">
        <f t="shared" si="11"/>
        <v>0</v>
      </c>
      <c r="P28" s="464"/>
      <c r="Q28" s="696">
        <f t="shared" ref="Q28" si="12">IF(+Q$21=0," ",Q29/+Q$21)</f>
        <v>3.8534050087895852E-3</v>
      </c>
      <c r="R28" s="243" t="s">
        <v>11</v>
      </c>
      <c r="S28" s="697">
        <v>2.2444399102224035E-2</v>
      </c>
    </row>
    <row r="29" spans="1:19" s="44" customFormat="1" ht="35.1" customHeight="1">
      <c r="A29" s="453" t="s">
        <v>157</v>
      </c>
      <c r="B29" s="453"/>
      <c r="C29" s="453"/>
      <c r="D29" s="589">
        <v>-161.26</v>
      </c>
      <c r="E29" s="589">
        <v>0</v>
      </c>
      <c r="F29" s="589">
        <v>44.37</v>
      </c>
      <c r="G29" s="589">
        <v>0</v>
      </c>
      <c r="H29" s="589">
        <v>2.4900000000000002</v>
      </c>
      <c r="I29" s="568">
        <v>125</v>
      </c>
      <c r="J29" s="693">
        <v>125</v>
      </c>
      <c r="K29" s="693">
        <v>125</v>
      </c>
      <c r="L29" s="693">
        <f>K29</f>
        <v>125</v>
      </c>
      <c r="M29" s="693">
        <v>50</v>
      </c>
      <c r="N29" s="693">
        <v>0</v>
      </c>
      <c r="O29" s="693">
        <v>0</v>
      </c>
      <c r="P29" s="687"/>
      <c r="Q29" s="688">
        <f t="shared" si="8"/>
        <v>435.6</v>
      </c>
      <c r="R29" s="243" t="s">
        <v>11</v>
      </c>
      <c r="S29" s="689">
        <v>2200</v>
      </c>
    </row>
    <row r="30" spans="1:19" s="451" customFormat="1" ht="27" customHeight="1">
      <c r="A30" s="464"/>
      <c r="D30" s="694" t="str">
        <f>IF((+D$7+D$8)=0," ",D31/(+D$7+D$8))</f>
        <v xml:space="preserve"> </v>
      </c>
      <c r="E30" s="694">
        <f>IF((+E$7+E$8)=0," ",E31/(+E$7+E$8))</f>
        <v>2.9305327644677828</v>
      </c>
      <c r="F30" s="694">
        <f>IF((+F$7+F$8)=0," ",F31/(+F$7+F$8))</f>
        <v>0.42701334190644585</v>
      </c>
      <c r="G30" s="694">
        <f>IF((+G$7+G$8)=0," ",G31/(+G$7+G$8))</f>
        <v>0.20340956111555544</v>
      </c>
      <c r="H30" s="694">
        <f>IF((+H$7+H$8)=0," ",H31/(+H$7+H$8))</f>
        <v>0.21104060168613026</v>
      </c>
      <c r="I30" s="695">
        <f>IF((O33+I$7+I$8)=0," ",I31/(+I$7+I$8))</f>
        <v>8.0657613878922743E-2</v>
      </c>
      <c r="J30" s="696">
        <f>IF((P33+J$7+J$8)=0," ",J31/(+J$7+J$8))</f>
        <v>7.6820846905537463E-2</v>
      </c>
      <c r="K30" s="696">
        <f t="shared" ref="K30:O30" si="13">IF((+K$7+K$8)=0," ",K31/(+K$7+K$8))</f>
        <v>0.13702454062188996</v>
      </c>
      <c r="L30" s="696">
        <f t="shared" si="13"/>
        <v>8.015409268221621E-2</v>
      </c>
      <c r="M30" s="696">
        <f t="shared" si="13"/>
        <v>8.7087671499464822E-2</v>
      </c>
      <c r="N30" s="696">
        <f t="shared" si="13"/>
        <v>0.18599213518971197</v>
      </c>
      <c r="O30" s="696">
        <f t="shared" si="13"/>
        <v>0.21936459909228442</v>
      </c>
      <c r="P30" s="464"/>
      <c r="Q30" s="696">
        <f>IF((+Q$7+Q$8)=0," ",(+Q31+Q32)/(+Q$7+Q$8))</f>
        <v>0.14965841607420061</v>
      </c>
      <c r="R30" s="243" t="s">
        <v>11</v>
      </c>
      <c r="S30" s="700">
        <f>IF((+S$7+S$8)=0," ",(+S31+S32)/(+S$7+S$8))</f>
        <v>0.14498170877366853</v>
      </c>
    </row>
    <row r="31" spans="1:19" s="44" customFormat="1" ht="35.1" customHeight="1">
      <c r="A31" s="453" t="s">
        <v>158</v>
      </c>
      <c r="B31" s="701"/>
      <c r="C31" s="701"/>
      <c r="D31" s="589">
        <v>5212.58</v>
      </c>
      <c r="E31" s="589">
        <v>5357.6</v>
      </c>
      <c r="F31" s="589">
        <v>5844.19</v>
      </c>
      <c r="G31" s="589">
        <v>3686.9</v>
      </c>
      <c r="H31" s="589">
        <v>4385.2</v>
      </c>
      <c r="I31" s="568">
        <v>5328</v>
      </c>
      <c r="J31" s="693">
        <v>5896</v>
      </c>
      <c r="K31" s="693">
        <v>5645</v>
      </c>
      <c r="L31" s="693">
        <v>4952</v>
      </c>
      <c r="M31" s="693">
        <v>4475</v>
      </c>
      <c r="N31" s="693">
        <v>3500</v>
      </c>
      <c r="O31" s="693">
        <v>3625</v>
      </c>
      <c r="P31" s="687"/>
      <c r="Q31" s="688">
        <f>SUM(D31:O31)</f>
        <v>57907.47</v>
      </c>
      <c r="R31" s="243" t="s">
        <v>11</v>
      </c>
      <c r="S31" s="689">
        <v>54600</v>
      </c>
    </row>
    <row r="32" spans="1:19" s="451" customFormat="1" ht="27" customHeight="1">
      <c r="A32" s="464"/>
      <c r="B32" s="464"/>
      <c r="C32" s="464"/>
      <c r="D32" s="702" t="str">
        <f t="shared" ref="D32:O32" si="14">IF((+D$7+D$8)=0," ",D33/(+D$7+D$8))</f>
        <v xml:space="preserve"> </v>
      </c>
      <c r="E32" s="702">
        <f t="shared" si="14"/>
        <v>2.4040039382999669</v>
      </c>
      <c r="F32" s="702">
        <f t="shared" si="14"/>
        <v>0.32112639008636434</v>
      </c>
      <c r="G32" s="702">
        <f t="shared" si="14"/>
        <v>0.24247606962566551</v>
      </c>
      <c r="H32" s="702">
        <f t="shared" si="14"/>
        <v>0.21151223305904918</v>
      </c>
      <c r="I32" s="695">
        <f t="shared" si="14"/>
        <v>6.6533448385485264E-2</v>
      </c>
      <c r="J32" s="696">
        <f t="shared" si="14"/>
        <v>5.7263843648208468E-2</v>
      </c>
      <c r="K32" s="696">
        <f t="shared" si="14"/>
        <v>0.10668252542660873</v>
      </c>
      <c r="L32" s="696">
        <f t="shared" si="14"/>
        <v>7.1138375876078408E-2</v>
      </c>
      <c r="M32" s="696">
        <f t="shared" si="14"/>
        <v>8.5530796925172722E-2</v>
      </c>
      <c r="N32" s="696">
        <f t="shared" si="14"/>
        <v>0.23355298118822404</v>
      </c>
      <c r="O32" s="696">
        <f t="shared" si="14"/>
        <v>0.26596066565809379</v>
      </c>
      <c r="P32" s="464"/>
      <c r="Q32" s="696">
        <f>IF((+Q$7+Q$8)=0," ",Q33/(+Q$7+Q$8))</f>
        <v>0.13630307601462832</v>
      </c>
      <c r="R32" s="243" t="s">
        <v>11</v>
      </c>
      <c r="S32" s="700">
        <f>IF((+S$7+S$8)=0," ",S33/(+S$7+S$8))</f>
        <v>0.11152416356877323</v>
      </c>
    </row>
    <row r="33" spans="1:19" s="44" customFormat="1" ht="35.1" customHeight="1">
      <c r="A33" s="453" t="s">
        <v>159</v>
      </c>
      <c r="B33" s="703"/>
      <c r="C33" s="703"/>
      <c r="D33" s="704">
        <v>4395</v>
      </c>
      <c r="E33" s="704">
        <v>4395</v>
      </c>
      <c r="F33" s="704">
        <f t="shared" ref="F33:O33" si="15">E33</f>
        <v>4395</v>
      </c>
      <c r="G33" s="704">
        <f t="shared" si="15"/>
        <v>4395</v>
      </c>
      <c r="H33" s="704">
        <f t="shared" si="15"/>
        <v>4395</v>
      </c>
      <c r="I33" s="705">
        <f t="shared" si="15"/>
        <v>4395</v>
      </c>
      <c r="J33" s="706">
        <f t="shared" si="15"/>
        <v>4395</v>
      </c>
      <c r="K33" s="706">
        <f t="shared" si="15"/>
        <v>4395</v>
      </c>
      <c r="L33" s="706">
        <f t="shared" si="15"/>
        <v>4395</v>
      </c>
      <c r="M33" s="706">
        <f t="shared" si="15"/>
        <v>4395</v>
      </c>
      <c r="N33" s="706">
        <f>M33</f>
        <v>4395</v>
      </c>
      <c r="O33" s="706">
        <f t="shared" si="15"/>
        <v>4395</v>
      </c>
      <c r="P33" s="11"/>
      <c r="Q33" s="707">
        <f>SUM(D33:O33)</f>
        <v>52740</v>
      </c>
      <c r="R33" s="243" t="s">
        <v>11</v>
      </c>
      <c r="S33" s="708">
        <v>42000</v>
      </c>
    </row>
    <row r="34" spans="1:19" s="451" customFormat="1" ht="27" customHeight="1">
      <c r="A34" s="464"/>
      <c r="B34" s="464"/>
      <c r="C34" s="464"/>
      <c r="D34" s="694" t="str">
        <f t="shared" ref="D34:O34" si="16">IF((+D$7+D$8)=0," ",D35/(+D$7+D$8))</f>
        <v xml:space="preserve"> </v>
      </c>
      <c r="E34" s="694">
        <f t="shared" si="16"/>
        <v>0.35154250082047916</v>
      </c>
      <c r="F34" s="694">
        <f t="shared" si="16"/>
        <v>3.1753152810860573E-2</v>
      </c>
      <c r="G34" s="694">
        <f t="shared" si="16"/>
        <v>0.10448704863314116</v>
      </c>
      <c r="H34" s="702">
        <f t="shared" si="16"/>
        <v>1.5964240716802684E-2</v>
      </c>
      <c r="I34" s="695">
        <f t="shared" si="16"/>
        <v>7.5692205216706786E-3</v>
      </c>
      <c r="J34" s="696">
        <f t="shared" si="16"/>
        <v>6.5146579804560263E-3</v>
      </c>
      <c r="K34" s="696">
        <f t="shared" si="16"/>
        <v>1.2136806078112483E-2</v>
      </c>
      <c r="L34" s="696">
        <f t="shared" si="16"/>
        <v>8.093103057574335E-3</v>
      </c>
      <c r="M34" s="696">
        <f t="shared" si="16"/>
        <v>9.7304660893256789E-3</v>
      </c>
      <c r="N34" s="696">
        <f t="shared" si="16"/>
        <v>2.6570305027101712E-2</v>
      </c>
      <c r="O34" s="696">
        <f t="shared" si="16"/>
        <v>3.0257186081694403E-2</v>
      </c>
      <c r="P34" s="464"/>
      <c r="Q34" s="696">
        <f>IF((+Q$7+Q$8)=0," ",Q35/(+Q$7+Q$8))</f>
        <v>1.8147563147039025E-2</v>
      </c>
      <c r="R34" s="243" t="s">
        <v>11</v>
      </c>
      <c r="S34" s="700">
        <f>IF((+S$7+S$8)=0," ",S35/(+S$7+S$8))</f>
        <v>2.3898035050451408E-2</v>
      </c>
    </row>
    <row r="35" spans="1:19" s="44" customFormat="1" ht="35.1" customHeight="1">
      <c r="A35" s="453" t="s">
        <v>160</v>
      </c>
      <c r="B35" s="453"/>
      <c r="C35" s="453"/>
      <c r="D35" s="589">
        <v>219</v>
      </c>
      <c r="E35" s="589">
        <v>642.69000000000005</v>
      </c>
      <c r="F35" s="589">
        <v>434.58</v>
      </c>
      <c r="G35" s="589">
        <v>1893.88</v>
      </c>
      <c r="H35" s="589">
        <v>331.72</v>
      </c>
      <c r="I35" s="568">
        <v>500</v>
      </c>
      <c r="J35" s="693">
        <v>500</v>
      </c>
      <c r="K35" s="693">
        <v>500</v>
      </c>
      <c r="L35" s="693">
        <v>500</v>
      </c>
      <c r="M35" s="693">
        <v>500</v>
      </c>
      <c r="N35" s="693">
        <v>500</v>
      </c>
      <c r="O35" s="693">
        <v>500</v>
      </c>
      <c r="P35" s="687"/>
      <c r="Q35" s="688">
        <f t="shared" si="8"/>
        <v>7021.87</v>
      </c>
      <c r="R35" s="243" t="s">
        <v>11</v>
      </c>
      <c r="S35" s="689">
        <v>9000</v>
      </c>
    </row>
    <row r="36" spans="1:19" s="451" customFormat="1" ht="27" customHeight="1">
      <c r="A36" s="464"/>
      <c r="B36" s="464"/>
      <c r="C36" s="464"/>
      <c r="D36" s="694" t="str">
        <f t="shared" ref="D36:J36" si="17">IF((+D$7+D$8)=0," ",D37/(+D$7+D$8))</f>
        <v xml:space="preserve"> </v>
      </c>
      <c r="E36" s="694">
        <f t="shared" si="17"/>
        <v>4.7647959741822558E-2</v>
      </c>
      <c r="F36" s="694">
        <f t="shared" si="17"/>
        <v>1.0419254431471115E-2</v>
      </c>
      <c r="G36" s="694">
        <f t="shared" si="17"/>
        <v>5.8541833328735755E-2</v>
      </c>
      <c r="H36" s="694">
        <f t="shared" si="17"/>
        <v>7.4483587709478924E-2</v>
      </c>
      <c r="I36" s="695">
        <f t="shared" si="17"/>
        <v>1.8847359098959991E-2</v>
      </c>
      <c r="J36" s="696">
        <f t="shared" si="17"/>
        <v>1.6729641693811075E-2</v>
      </c>
      <c r="K36" s="696">
        <f>IF((+K$7+K$8)=0," ",K37/(+K$7+K$8))</f>
        <v>3.6410418234337452E-2</v>
      </c>
      <c r="L36" s="696">
        <f>IF((+L$7+L$8)=0," ",L37/(+L$7+L$8))</f>
        <v>2.3065343714086854E-2</v>
      </c>
      <c r="M36" s="696">
        <f>IF((+M$7+M$8)=0," ",M37/(+M$7+M$8))</f>
        <v>1.6444487690960397E-2</v>
      </c>
      <c r="N36" s="696">
        <f>IF((+N$7+N$8)=0," ",N37/(+N$7+N$8))</f>
        <v>4.9155064300138163E-2</v>
      </c>
      <c r="O36" s="696">
        <f>IF((+O$7+O$8)=0," ",O37/(+O$7+O$8))</f>
        <v>4.3267776096822995E-2</v>
      </c>
      <c r="P36" s="709"/>
      <c r="Q36" s="696">
        <f>IF((+Q$7+Q$8)=0," ",Q37/(+Q$7+Q$8))</f>
        <v>2.8991436838074633E-2</v>
      </c>
      <c r="R36" s="243" t="s">
        <v>11</v>
      </c>
      <c r="S36" s="700">
        <f>IF((+S$7+S$8)=0," ",S37/(+S$7+S$8))</f>
        <v>4.1423260754115773E-2</v>
      </c>
    </row>
    <row r="37" spans="1:19" s="44" customFormat="1" ht="34.5" customHeight="1">
      <c r="A37" s="453" t="s">
        <v>161</v>
      </c>
      <c r="B37" s="453"/>
      <c r="C37" s="453"/>
      <c r="D37" s="589">
        <v>440.21</v>
      </c>
      <c r="E37" s="589">
        <v>87.11</v>
      </c>
      <c r="F37" s="589">
        <v>142.6</v>
      </c>
      <c r="G37" s="589">
        <v>1061.0999999999999</v>
      </c>
      <c r="H37" s="589">
        <v>1547.69</v>
      </c>
      <c r="I37" s="568">
        <v>1245</v>
      </c>
      <c r="J37" s="693">
        <v>1284</v>
      </c>
      <c r="K37" s="693">
        <v>1500</v>
      </c>
      <c r="L37" s="693">
        <v>1425</v>
      </c>
      <c r="M37" s="693">
        <v>845</v>
      </c>
      <c r="N37" s="693">
        <v>925</v>
      </c>
      <c r="O37" s="693">
        <f>701+14</f>
        <v>715</v>
      </c>
      <c r="P37" s="710"/>
      <c r="Q37" s="688">
        <f t="shared" si="8"/>
        <v>11217.71</v>
      </c>
      <c r="R37" s="243" t="s">
        <v>11</v>
      </c>
      <c r="S37" s="689">
        <v>15600</v>
      </c>
    </row>
    <row r="38" spans="1:19" s="451" customFormat="1" ht="27" customHeight="1">
      <c r="A38" s="464"/>
      <c r="B38" s="464"/>
      <c r="C38" s="464"/>
      <c r="D38" s="694" t="str">
        <f t="shared" ref="D38:O38" si="18">IF((+D$7+D$8)=0," ",D39/(+D$7+D$8))</f>
        <v xml:space="preserve"> </v>
      </c>
      <c r="E38" s="694">
        <f t="shared" si="18"/>
        <v>3.386390985668964E-2</v>
      </c>
      <c r="F38" s="694">
        <f t="shared" si="18"/>
        <v>0</v>
      </c>
      <c r="G38" s="694">
        <f t="shared" si="18"/>
        <v>0</v>
      </c>
      <c r="H38" s="702">
        <f t="shared" si="18"/>
        <v>0</v>
      </c>
      <c r="I38" s="695">
        <f t="shared" si="18"/>
        <v>3.0276882086682712E-3</v>
      </c>
      <c r="J38" s="696">
        <f t="shared" si="18"/>
        <v>2.6058631921824105E-3</v>
      </c>
      <c r="K38" s="696">
        <f t="shared" si="18"/>
        <v>4.8547224312449934E-3</v>
      </c>
      <c r="L38" s="696">
        <f t="shared" si="18"/>
        <v>3.2372412230297341E-3</v>
      </c>
      <c r="M38" s="696">
        <f t="shared" si="18"/>
        <v>3.8921864357302715E-3</v>
      </c>
      <c r="N38" s="696">
        <f t="shared" si="18"/>
        <v>1.0628122010840685E-2</v>
      </c>
      <c r="O38" s="696">
        <f t="shared" si="18"/>
        <v>1.2102874432677761E-2</v>
      </c>
      <c r="P38" s="464"/>
      <c r="Q38" s="696">
        <f>IF((+Q$7+Q$8)=0," ",Q39/(+Q$7+Q$8))</f>
        <v>3.811704924567593E-3</v>
      </c>
      <c r="R38" s="243" t="s">
        <v>11</v>
      </c>
      <c r="S38" s="697">
        <v>5.5762081784386614E-3</v>
      </c>
    </row>
    <row r="39" spans="1:19" s="44" customFormat="1" ht="35.1" customHeight="1">
      <c r="A39" s="453" t="s">
        <v>163</v>
      </c>
      <c r="B39" s="453"/>
      <c r="C39" s="453"/>
      <c r="D39" s="589">
        <v>12.96</v>
      </c>
      <c r="E39" s="589">
        <v>61.91</v>
      </c>
      <c r="F39" s="589">
        <v>0</v>
      </c>
      <c r="G39" s="589">
        <v>0</v>
      </c>
      <c r="H39" s="711">
        <v>0</v>
      </c>
      <c r="I39" s="568">
        <v>200</v>
      </c>
      <c r="J39" s="693">
        <v>200</v>
      </c>
      <c r="K39" s="693">
        <v>200</v>
      </c>
      <c r="L39" s="693">
        <v>200</v>
      </c>
      <c r="M39" s="693">
        <v>200</v>
      </c>
      <c r="N39" s="693">
        <v>200</v>
      </c>
      <c r="O39" s="693">
        <v>200</v>
      </c>
      <c r="P39" s="687"/>
      <c r="Q39" s="688">
        <f>SUM(D39:O39)</f>
        <v>1474.87</v>
      </c>
      <c r="R39" s="243" t="s">
        <v>11</v>
      </c>
      <c r="S39" s="689">
        <v>2100</v>
      </c>
    </row>
    <row r="40" spans="1:19" s="451" customFormat="1" ht="27" customHeight="1">
      <c r="B40" s="464"/>
      <c r="C40" s="464"/>
      <c r="D40" s="694" t="str">
        <f t="shared" ref="D40:O40" si="19">IF((+D$7+D$8)=0," ",D41/(+D$7+D$8))</f>
        <v xml:space="preserve"> </v>
      </c>
      <c r="E40" s="694">
        <f t="shared" si="19"/>
        <v>4.9775735696313314E-4</v>
      </c>
      <c r="F40" s="694">
        <f t="shared" si="19"/>
        <v>5.8030717072671739E-2</v>
      </c>
      <c r="G40" s="694">
        <f t="shared" si="19"/>
        <v>6.3810653499213809E-3</v>
      </c>
      <c r="H40" s="702">
        <f t="shared" si="19"/>
        <v>6.0224438782729046E-3</v>
      </c>
      <c r="I40" s="696">
        <f t="shared" si="19"/>
        <v>7.1907594955871448E-3</v>
      </c>
      <c r="J40" s="696">
        <f t="shared" si="19"/>
        <v>3.2573289902280132E-3</v>
      </c>
      <c r="K40" s="696">
        <f t="shared" si="19"/>
        <v>6.0684030390562417E-3</v>
      </c>
      <c r="L40" s="696">
        <f t="shared" si="19"/>
        <v>5.2605169874233183E-3</v>
      </c>
      <c r="M40" s="696">
        <f t="shared" si="19"/>
        <v>6.8113262625279754E-3</v>
      </c>
      <c r="N40" s="696">
        <f t="shared" si="19"/>
        <v>1.3285152513550856E-2</v>
      </c>
      <c r="O40" s="696">
        <f t="shared" si="19"/>
        <v>1.5128593040847202E-2</v>
      </c>
      <c r="P40" s="464"/>
      <c r="Q40" s="696">
        <f>IF((+Q$7+Q$8)=0," ",Q41/(+Q$7+Q$8))</f>
        <v>8.5467766105782363E-3</v>
      </c>
      <c r="R40" s="243" t="s">
        <v>11</v>
      </c>
      <c r="S40" s="697">
        <v>9.8247477429633558E-3</v>
      </c>
    </row>
    <row r="41" spans="1:19" s="44" customFormat="1" ht="35.1" customHeight="1">
      <c r="A41" s="465" t="s">
        <v>162</v>
      </c>
      <c r="B41" s="453"/>
      <c r="C41" s="453"/>
      <c r="D41" s="589">
        <v>121.09</v>
      </c>
      <c r="E41" s="589">
        <v>0.91</v>
      </c>
      <c r="F41" s="589">
        <v>794.22</v>
      </c>
      <c r="G41" s="589">
        <v>115.66</v>
      </c>
      <c r="H41" s="711">
        <v>125.14</v>
      </c>
      <c r="I41" s="693">
        <v>475</v>
      </c>
      <c r="J41" s="693">
        <v>250</v>
      </c>
      <c r="K41" s="693">
        <v>250</v>
      </c>
      <c r="L41" s="693">
        <v>325</v>
      </c>
      <c r="M41" s="693">
        <v>350</v>
      </c>
      <c r="N41" s="693">
        <v>250</v>
      </c>
      <c r="O41" s="693">
        <v>250</v>
      </c>
      <c r="P41" s="687"/>
      <c r="Q41" s="688">
        <f t="shared" si="8"/>
        <v>3307.0200000000004</v>
      </c>
      <c r="R41" s="243" t="s">
        <v>11</v>
      </c>
      <c r="S41" s="689">
        <v>3700</v>
      </c>
    </row>
    <row r="42" spans="1:19" s="451" customFormat="1" ht="27" customHeight="1">
      <c r="A42" s="464"/>
      <c r="B42" s="464"/>
      <c r="C42" s="464"/>
      <c r="D42" s="694" t="str">
        <f t="shared" ref="D42:O46" si="20">IF((+D$7+D$8)=0," ",D43/(+D$7+D$8))</f>
        <v xml:space="preserve"> </v>
      </c>
      <c r="E42" s="694">
        <f t="shared" si="20"/>
        <v>6.5638332786347228E-3</v>
      </c>
      <c r="F42" s="694">
        <f t="shared" si="20"/>
        <v>4.0540836755271731E-2</v>
      </c>
      <c r="G42" s="694">
        <f t="shared" si="20"/>
        <v>1.5999558632865299E-2</v>
      </c>
      <c r="H42" s="702">
        <f t="shared" si="20"/>
        <v>0</v>
      </c>
      <c r="I42" s="696">
        <f t="shared" si="20"/>
        <v>0</v>
      </c>
      <c r="J42" s="696">
        <f t="shared" si="20"/>
        <v>0</v>
      </c>
      <c r="K42" s="696">
        <f t="shared" si="20"/>
        <v>0</v>
      </c>
      <c r="L42" s="696">
        <f t="shared" si="20"/>
        <v>5.2605169874233183E-3</v>
      </c>
      <c r="M42" s="696">
        <f t="shared" si="20"/>
        <v>0</v>
      </c>
      <c r="N42" s="696">
        <f t="shared" si="20"/>
        <v>0</v>
      </c>
      <c r="O42" s="696">
        <f t="shared" si="20"/>
        <v>6.0514372163388806E-2</v>
      </c>
      <c r="P42" s="464"/>
      <c r="Q42" s="696">
        <f>IF((+Q$7+Q$8)=0," ",Q43/(+Q$7+Q$8))</f>
        <v>5.6454387418724715E-3</v>
      </c>
      <c r="R42" s="243" t="s">
        <v>11</v>
      </c>
      <c r="S42" s="697">
        <v>1.3542219861922463E-2</v>
      </c>
    </row>
    <row r="43" spans="1:19" s="44" customFormat="1" ht="35.1" customHeight="1">
      <c r="A43" s="453" t="s">
        <v>164</v>
      </c>
      <c r="B43" s="453"/>
      <c r="C43" s="453"/>
      <c r="D43" s="589">
        <v>2.5499999999999998</v>
      </c>
      <c r="E43" s="589">
        <v>12</v>
      </c>
      <c r="F43" s="589">
        <v>554.85</v>
      </c>
      <c r="G43" s="589">
        <v>290</v>
      </c>
      <c r="H43" s="712">
        <f>'[1]Input Wrksht '!J23+'[1]Input Wrksht '!J29+'[1]Input Wrksht '!J19</f>
        <v>0</v>
      </c>
      <c r="I43" s="739">
        <v>0</v>
      </c>
      <c r="J43" s="497">
        <f>'[1]Input Wrksht '!L23+'[1]Input Wrksht '!L29+'[1]Input Wrksht '!L19</f>
        <v>0</v>
      </c>
      <c r="K43" s="497">
        <v>0</v>
      </c>
      <c r="L43" s="693">
        <v>325</v>
      </c>
      <c r="M43" s="739">
        <v>0</v>
      </c>
      <c r="N43" s="739">
        <v>0</v>
      </c>
      <c r="O43" s="693">
        <v>1000</v>
      </c>
      <c r="P43" s="687"/>
      <c r="Q43" s="688">
        <f t="shared" si="8"/>
        <v>2184.4</v>
      </c>
      <c r="R43" s="243" t="s">
        <v>11</v>
      </c>
      <c r="S43" s="689">
        <v>5100</v>
      </c>
    </row>
    <row r="44" spans="1:19" s="451" customFormat="1" ht="27" customHeight="1">
      <c r="A44" s="464"/>
      <c r="B44" s="464"/>
      <c r="C44" s="464"/>
      <c r="D44" s="694" t="str">
        <f t="shared" si="20"/>
        <v xml:space="preserve"> </v>
      </c>
      <c r="E44" s="694">
        <f>IF((+E$7+E$8)=0," ",E45/(+E$7+E$8))</f>
        <v>9.8457499179520833E-2</v>
      </c>
      <c r="F44" s="694">
        <f t="shared" si="20"/>
        <v>1.3151934064970554E-2</v>
      </c>
      <c r="G44" s="694">
        <f t="shared" si="20"/>
        <v>9.9307605307439803E-3</v>
      </c>
      <c r="H44" s="702">
        <f t="shared" si="20"/>
        <v>8.6626170536129362E-3</v>
      </c>
      <c r="I44" s="696">
        <f t="shared" si="20"/>
        <v>2.7249193878014443E-3</v>
      </c>
      <c r="J44" s="696">
        <f t="shared" si="20"/>
        <v>2.3452768729641696E-3</v>
      </c>
      <c r="K44" s="696">
        <f t="shared" si="20"/>
        <v>4.3692501881204939E-3</v>
      </c>
      <c r="L44" s="696">
        <f t="shared" si="20"/>
        <v>2.9135171007267607E-3</v>
      </c>
      <c r="M44" s="696">
        <f t="shared" si="20"/>
        <v>3.5029677921572444E-3</v>
      </c>
      <c r="N44" s="696">
        <f t="shared" si="20"/>
        <v>9.5653098097566152E-3</v>
      </c>
      <c r="O44" s="696">
        <f t="shared" si="20"/>
        <v>1.0892586989409985E-2</v>
      </c>
      <c r="P44" s="464"/>
      <c r="Q44" s="696">
        <f>IF((+Q$7+Q$8)=0," ",Q45/(+Q$7+Q$8))</f>
        <v>5.5823785398482588E-3</v>
      </c>
      <c r="R44" s="243" t="s">
        <v>11</v>
      </c>
      <c r="S44" s="697">
        <v>6.3728093467870419E-3</v>
      </c>
    </row>
    <row r="45" spans="1:19" s="451" customFormat="1" ht="27" customHeight="1">
      <c r="A45" s="453" t="s">
        <v>165</v>
      </c>
      <c r="B45" s="464"/>
      <c r="C45" s="464"/>
      <c r="D45" s="589">
        <v>180</v>
      </c>
      <c r="E45" s="589">
        <f>D45</f>
        <v>180</v>
      </c>
      <c r="F45" s="589">
        <f t="shared" ref="F45:O45" si="21">E45</f>
        <v>180</v>
      </c>
      <c r="G45" s="589">
        <f t="shared" si="21"/>
        <v>180</v>
      </c>
      <c r="H45" s="711">
        <f t="shared" si="21"/>
        <v>180</v>
      </c>
      <c r="I45" s="693">
        <f t="shared" si="21"/>
        <v>180</v>
      </c>
      <c r="J45" s="693">
        <f t="shared" si="21"/>
        <v>180</v>
      </c>
      <c r="K45" s="693">
        <f t="shared" si="21"/>
        <v>180</v>
      </c>
      <c r="L45" s="693">
        <f t="shared" si="21"/>
        <v>180</v>
      </c>
      <c r="M45" s="693">
        <f t="shared" si="21"/>
        <v>180</v>
      </c>
      <c r="N45" s="693">
        <f t="shared" si="21"/>
        <v>180</v>
      </c>
      <c r="O45" s="693">
        <f t="shared" si="21"/>
        <v>180</v>
      </c>
      <c r="P45" s="687"/>
      <c r="Q45" s="688">
        <f t="shared" ref="Q45" si="22">SUM(D45:O45)</f>
        <v>2160</v>
      </c>
      <c r="R45" s="243"/>
      <c r="S45" s="689">
        <v>2400</v>
      </c>
    </row>
    <row r="46" spans="1:19" s="451" customFormat="1" ht="27" customHeight="1">
      <c r="A46" s="464"/>
      <c r="B46" s="464"/>
      <c r="C46" s="464"/>
      <c r="D46" s="694" t="str">
        <f>IF((+D$7+D$8)=0," ",D47/(+D$7+D$8))</f>
        <v xml:space="preserve"> </v>
      </c>
      <c r="E46" s="713">
        <f t="shared" ref="E46:F46" si="23">IF((+E$7+E$8)=0," ",E47/(+E$7+E$8))</f>
        <v>-2.0161907887539656E-2</v>
      </c>
      <c r="F46" s="714">
        <f t="shared" si="23"/>
        <v>0</v>
      </c>
      <c r="G46" s="694">
        <f t="shared" si="20"/>
        <v>0</v>
      </c>
      <c r="H46" s="702">
        <f t="shared" si="20"/>
        <v>0</v>
      </c>
      <c r="I46" s="696">
        <f t="shared" si="20"/>
        <v>0</v>
      </c>
      <c r="J46" s="696">
        <f t="shared" si="20"/>
        <v>0</v>
      </c>
      <c r="K46" s="696">
        <f t="shared" si="20"/>
        <v>0</v>
      </c>
      <c r="L46" s="696">
        <f t="shared" si="20"/>
        <v>0</v>
      </c>
      <c r="M46" s="696">
        <f t="shared" si="20"/>
        <v>0</v>
      </c>
      <c r="N46" s="715">
        <f t="shared" si="20"/>
        <v>0</v>
      </c>
      <c r="O46" s="715">
        <f t="shared" si="20"/>
        <v>0</v>
      </c>
      <c r="P46" s="464"/>
      <c r="Q46" s="696">
        <f>IF((+Q$7+Q$8)=0," ",Q47/(+Q$7+Q$8))</f>
        <v>6.2827602918384814E-5</v>
      </c>
      <c r="R46" s="243" t="s">
        <v>11</v>
      </c>
      <c r="S46" s="697">
        <v>1.3276686139139671E-3</v>
      </c>
    </row>
    <row r="47" spans="1:19" s="44" customFormat="1" ht="35.1" customHeight="1">
      <c r="A47" s="453" t="s">
        <v>166</v>
      </c>
      <c r="B47" s="453"/>
      <c r="C47" s="453"/>
      <c r="D47" s="600">
        <v>61.17</v>
      </c>
      <c r="E47" s="600">
        <v>-36.86</v>
      </c>
      <c r="F47" s="592">
        <v>0</v>
      </c>
      <c r="G47" s="592">
        <v>0</v>
      </c>
      <c r="H47" s="712">
        <v>0</v>
      </c>
      <c r="I47" s="739">
        <v>0</v>
      </c>
      <c r="J47" s="739">
        <v>0</v>
      </c>
      <c r="K47" s="739">
        <v>0</v>
      </c>
      <c r="L47" s="739">
        <f>H47</f>
        <v>0</v>
      </c>
      <c r="M47" s="739">
        <f>G47</f>
        <v>0</v>
      </c>
      <c r="N47" s="497">
        <v>0</v>
      </c>
      <c r="O47" s="497">
        <v>0</v>
      </c>
      <c r="P47" s="687"/>
      <c r="Q47" s="688">
        <f t="shared" si="8"/>
        <v>24.310000000000002</v>
      </c>
      <c r="R47" s="243" t="s">
        <v>11</v>
      </c>
      <c r="S47" s="689">
        <v>500</v>
      </c>
    </row>
    <row r="48" spans="1:19" s="451" customFormat="1" ht="27" customHeight="1">
      <c r="A48" s="453"/>
      <c r="B48" s="453"/>
      <c r="C48" s="453"/>
      <c r="D48" s="716"/>
      <c r="E48" s="716"/>
      <c r="F48" s="716"/>
      <c r="G48" s="716"/>
      <c r="H48" s="716"/>
      <c r="I48" s="44"/>
      <c r="J48" s="44"/>
      <c r="K48" s="687"/>
      <c r="L48" s="687"/>
      <c r="M48" s="687"/>
      <c r="N48" s="687"/>
      <c r="O48" s="687"/>
      <c r="P48" s="687"/>
      <c r="Q48" s="717"/>
      <c r="R48" s="717"/>
      <c r="S48" s="717"/>
    </row>
    <row r="49" spans="1:24" s="44" customFormat="1" ht="35.1" customHeight="1" thickBot="1">
      <c r="A49" s="630"/>
      <c r="B49" s="650" t="s">
        <v>63</v>
      </c>
      <c r="C49" s="650"/>
      <c r="D49" s="718">
        <f>+D47+D45+D43+D41+D39+D37+D35+D33+D31+D29+D27+D25+D23+D21+D19</f>
        <v>20599.97</v>
      </c>
      <c r="E49" s="718">
        <f t="shared" ref="E49:O49" si="24">+E47+E45+E43+E41+E39+E37+E35+E33+E31+E29+E27+E25+E23+E21+E19</f>
        <v>21399.200000000001</v>
      </c>
      <c r="F49" s="718">
        <f t="shared" si="24"/>
        <v>29137.5</v>
      </c>
      <c r="G49" s="718">
        <f t="shared" si="24"/>
        <v>25364.510000000002</v>
      </c>
      <c r="H49" s="718">
        <f t="shared" si="24"/>
        <v>26862.809999999998</v>
      </c>
      <c r="I49" s="737">
        <f t="shared" si="24"/>
        <v>52487.4</v>
      </c>
      <c r="J49" s="737">
        <f t="shared" si="24"/>
        <v>62815</v>
      </c>
      <c r="K49" s="737">
        <f t="shared" si="24"/>
        <v>37552</v>
      </c>
      <c r="L49" s="737">
        <f t="shared" si="24"/>
        <v>45397</v>
      </c>
      <c r="M49" s="737">
        <f t="shared" si="24"/>
        <v>39417</v>
      </c>
      <c r="N49" s="737">
        <f t="shared" si="24"/>
        <v>22300</v>
      </c>
      <c r="O49" s="737">
        <f t="shared" si="24"/>
        <v>27335</v>
      </c>
      <c r="P49" s="719" t="s">
        <v>11</v>
      </c>
      <c r="Q49" s="720">
        <f>+Q47+Q45+Q43+Q41+Q39+Q37+Q35+Q33+Q31+Q29+Q27+Q25+Q23+Q21+Q19</f>
        <v>410667.39</v>
      </c>
      <c r="R49" s="243" t="s">
        <v>11</v>
      </c>
      <c r="S49" s="721">
        <f>+S47+S45+S43+S39+S41+S37+S35+S33+S31+S29+S27+S25+S23+S21+S19</f>
        <v>389300</v>
      </c>
    </row>
    <row r="50" spans="1:24" s="44" customFormat="1" ht="27" thickTop="1">
      <c r="A50" s="647"/>
      <c r="B50" s="647"/>
      <c r="C50" s="647"/>
      <c r="D50" s="382">
        <v>0</v>
      </c>
      <c r="E50" s="383">
        <v>0</v>
      </c>
      <c r="F50" s="383">
        <v>0</v>
      </c>
      <c r="G50" s="383">
        <v>0</v>
      </c>
      <c r="H50" s="383">
        <v>0</v>
      </c>
      <c r="I50" s="161">
        <v>0</v>
      </c>
      <c r="J50" s="294">
        <f>SUM($D$49:J49)</f>
        <v>238666.38999999998</v>
      </c>
      <c r="K50" s="161">
        <v>0</v>
      </c>
      <c r="L50" s="161">
        <v>0</v>
      </c>
      <c r="M50" s="161">
        <v>0</v>
      </c>
      <c r="N50" s="161">
        <v>0</v>
      </c>
      <c r="O50" s="161">
        <v>0</v>
      </c>
      <c r="P50" s="722"/>
      <c r="Q50" s="647"/>
      <c r="R50" s="243" t="s">
        <v>11</v>
      </c>
      <c r="S50" s="647"/>
    </row>
    <row r="51" spans="1:24" s="630" customFormat="1" ht="50.1" customHeight="1" thickBot="1">
      <c r="A51" s="723"/>
      <c r="B51" s="724" t="s">
        <v>65</v>
      </c>
      <c r="C51" s="725"/>
      <c r="D51" s="726">
        <f t="shared" ref="D51:O51" si="25">+D13-D49</f>
        <v>-20599.97</v>
      </c>
      <c r="E51" s="726">
        <f t="shared" si="25"/>
        <v>-19662.41</v>
      </c>
      <c r="F51" s="727">
        <f t="shared" si="25"/>
        <v>-15843.859999999999</v>
      </c>
      <c r="G51" s="727">
        <f t="shared" si="25"/>
        <v>-7239.010000000002</v>
      </c>
      <c r="H51" s="727">
        <f t="shared" si="25"/>
        <v>-5463.8699999999953</v>
      </c>
      <c r="I51" s="738">
        <f t="shared" si="25"/>
        <v>30469.599999999999</v>
      </c>
      <c r="J51" s="738">
        <f t="shared" si="25"/>
        <v>15335</v>
      </c>
      <c r="K51" s="738">
        <f t="shared" si="25"/>
        <v>3645</v>
      </c>
      <c r="L51" s="738">
        <f t="shared" si="25"/>
        <v>16384</v>
      </c>
      <c r="M51" s="738">
        <f t="shared" si="25"/>
        <v>11968</v>
      </c>
      <c r="N51" s="738">
        <f t="shared" si="25"/>
        <v>-3482</v>
      </c>
      <c r="O51" s="738">
        <f t="shared" si="25"/>
        <v>-10810</v>
      </c>
      <c r="P51" s="728"/>
      <c r="Q51" s="729">
        <f>+Q13-Q49</f>
        <v>-5299.5200000000186</v>
      </c>
      <c r="R51" s="243" t="s">
        <v>11</v>
      </c>
      <c r="S51" s="730">
        <f>ROUND((+S13-S49),-1)</f>
        <v>0</v>
      </c>
    </row>
    <row r="52" spans="1:24" s="15" customFormat="1" ht="27" thickTop="1">
      <c r="A52" s="172"/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/>
      <c r="T52"/>
      <c r="U52"/>
      <c r="V52"/>
      <c r="W52"/>
      <c r="X52"/>
    </row>
    <row r="53" spans="1:24" s="15" customFormat="1" ht="27" customHeight="1">
      <c r="A53" s="616"/>
      <c r="B53" s="617"/>
      <c r="C53" s="618" t="s">
        <v>341</v>
      </c>
      <c r="D53" s="597">
        <v>20000</v>
      </c>
      <c r="E53" s="606">
        <v>0</v>
      </c>
      <c r="F53" s="606">
        <v>0</v>
      </c>
      <c r="G53" s="606">
        <v>0</v>
      </c>
      <c r="H53" s="606">
        <v>0</v>
      </c>
      <c r="I53" s="607">
        <v>0</v>
      </c>
      <c r="J53" s="607">
        <v>0</v>
      </c>
      <c r="K53" s="607">
        <v>0</v>
      </c>
      <c r="L53" s="607">
        <v>0</v>
      </c>
      <c r="M53" s="607">
        <v>0</v>
      </c>
      <c r="N53" s="607">
        <v>0</v>
      </c>
      <c r="O53" s="607">
        <v>0</v>
      </c>
      <c r="P53" s="11"/>
      <c r="Q53" s="619">
        <f>SUM(D53:O53)</f>
        <v>20000</v>
      </c>
      <c r="R53" s="132"/>
      <c r="S53"/>
      <c r="T53"/>
      <c r="U53"/>
      <c r="V53"/>
      <c r="W53"/>
      <c r="X53"/>
    </row>
    <row r="54" spans="1:24" s="15" customFormat="1" ht="27" customHeight="1">
      <c r="A54" s="173"/>
      <c r="E54" s="175"/>
      <c r="F54" s="175"/>
      <c r="G54" s="175"/>
      <c r="H54" s="175"/>
      <c r="I54" s="175"/>
      <c r="J54" s="175"/>
      <c r="K54" s="175"/>
      <c r="L54" s="175"/>
      <c r="M54" s="175"/>
      <c r="N54" s="173"/>
      <c r="O54" s="173"/>
      <c r="P54" s="11"/>
      <c r="Q54" s="173"/>
      <c r="R54" s="132"/>
      <c r="S54" s="51"/>
      <c r="T54"/>
      <c r="U54"/>
      <c r="V54"/>
      <c r="W54"/>
      <c r="X54"/>
    </row>
    <row r="55" spans="1:24" s="85" customFormat="1" ht="67.900000000000006" customHeight="1" thickBot="1">
      <c r="A55" s="749" t="s">
        <v>335</v>
      </c>
      <c r="B55" s="749"/>
      <c r="C55" s="749"/>
      <c r="D55" s="608">
        <f>SUM(D51:D53)</f>
        <v>-599.97000000000116</v>
      </c>
      <c r="E55" s="608">
        <f t="shared" ref="E55:F55" si="26">E51+E53</f>
        <v>-19662.41</v>
      </c>
      <c r="F55" s="608">
        <f t="shared" si="26"/>
        <v>-15843.859999999999</v>
      </c>
      <c r="G55" s="608">
        <f>G51+G53</f>
        <v>-7239.010000000002</v>
      </c>
      <c r="H55" s="608">
        <f t="shared" ref="H55:O55" si="27">H51+H53</f>
        <v>-5463.8699999999953</v>
      </c>
      <c r="I55" s="611">
        <f t="shared" si="27"/>
        <v>30469.599999999999</v>
      </c>
      <c r="J55" s="611">
        <f t="shared" si="27"/>
        <v>15335</v>
      </c>
      <c r="K55" s="611">
        <f t="shared" si="27"/>
        <v>3645</v>
      </c>
      <c r="L55" s="611">
        <f t="shared" si="27"/>
        <v>16384</v>
      </c>
      <c r="M55" s="611">
        <f t="shared" si="27"/>
        <v>11968</v>
      </c>
      <c r="N55" s="611">
        <f t="shared" si="27"/>
        <v>-3482</v>
      </c>
      <c r="O55" s="611">
        <f t="shared" si="27"/>
        <v>-10810</v>
      </c>
      <c r="P55" s="11"/>
      <c r="Q55" s="615">
        <f>SUM(Q51,Q53)</f>
        <v>14700.479999999981</v>
      </c>
      <c r="R55" s="243" t="s">
        <v>11</v>
      </c>
      <c r="S55" s="134"/>
      <c r="T55"/>
      <c r="U55"/>
      <c r="V55"/>
      <c r="W55"/>
      <c r="X55"/>
    </row>
    <row r="56" spans="1:24" s="15" customFormat="1" ht="27" customHeight="1" thickTop="1">
      <c r="A56" s="173"/>
      <c r="E56" s="175"/>
      <c r="F56" s="175"/>
      <c r="I56" s="172"/>
      <c r="J56" s="172"/>
      <c r="K56" s="172"/>
      <c r="L56" s="172"/>
      <c r="M56" s="172"/>
      <c r="N56" s="172"/>
      <c r="O56" s="172"/>
      <c r="P56" s="11"/>
      <c r="Q56" s="173"/>
      <c r="R56" s="132"/>
      <c r="S56" s="51"/>
      <c r="T56"/>
      <c r="U56"/>
      <c r="V56"/>
      <c r="W56"/>
      <c r="X56"/>
    </row>
    <row r="57" spans="1:24" s="15" customFormat="1">
      <c r="A57" s="173"/>
      <c r="B57" s="173"/>
      <c r="C57" s="173"/>
      <c r="D57" s="171"/>
      <c r="E57" s="171"/>
      <c r="F57" s="171"/>
      <c r="G57" s="175"/>
      <c r="H57" s="175"/>
      <c r="I57" s="175"/>
      <c r="J57" s="175"/>
      <c r="K57" s="175"/>
      <c r="L57" s="175"/>
      <c r="M57" s="175"/>
      <c r="N57" s="173"/>
      <c r="O57" s="173"/>
      <c r="P57" s="11"/>
      <c r="Q57" s="173"/>
      <c r="R57" s="132"/>
      <c r="S57" s="51"/>
      <c r="T57"/>
      <c r="U57"/>
      <c r="V57"/>
      <c r="W57"/>
      <c r="X57"/>
    </row>
    <row r="58" spans="1:24" s="15" customFormat="1" ht="27" hidden="1" thickBot="1">
      <c r="A58" s="173"/>
      <c r="B58" s="750" t="s">
        <v>342</v>
      </c>
      <c r="C58" s="750"/>
      <c r="D58" s="171"/>
      <c r="E58" s="175" t="e">
        <f ca="1">SUM($D55:E$59)</f>
        <v>#REF!</v>
      </c>
      <c r="F58" s="175" t="e">
        <f ca="1">SUM($D55:F$59)</f>
        <v>#REF!</v>
      </c>
      <c r="G58" s="175" t="e">
        <f ca="1">SUM($D55:G$59)</f>
        <v>#REF!</v>
      </c>
      <c r="H58" s="175" t="e">
        <f ca="1">SUM($D55:H$59)</f>
        <v>#REF!</v>
      </c>
      <c r="I58" s="175" t="e">
        <f ca="1">SUM($D55:I$59)</f>
        <v>#REF!</v>
      </c>
      <c r="J58" s="175" t="e">
        <f ca="1">SUM($D55:J$59)</f>
        <v>#REF!</v>
      </c>
      <c r="K58" s="175" t="e">
        <f ca="1">SUM($D55:K$59)</f>
        <v>#REF!</v>
      </c>
      <c r="L58" s="175" t="e">
        <f ca="1">SUM($D55:L$59)</f>
        <v>#REF!</v>
      </c>
      <c r="M58" s="175" t="e">
        <f ca="1">SUM($D55:M$59)</f>
        <v>#REF!</v>
      </c>
      <c r="N58" s="175" t="e">
        <f ca="1">SUM($D55:N$59)</f>
        <v>#REF!</v>
      </c>
      <c r="O58" s="175" t="e">
        <f ca="1">SUM($D55:O$59)</f>
        <v>#REF!</v>
      </c>
      <c r="P58" s="11"/>
      <c r="Q58" s="615">
        <f>SUM(D55:O55)</f>
        <v>14700.480000000003</v>
      </c>
      <c r="R58" s="132"/>
      <c r="S58" s="51"/>
    </row>
    <row r="59" spans="1:24" s="15" customFormat="1" ht="33.75">
      <c r="A59" s="173"/>
      <c r="B59" s="173"/>
      <c r="C59" s="173"/>
      <c r="D59" s="171"/>
      <c r="E59" s="628" t="s">
        <v>346</v>
      </c>
      <c r="F59" s="751" t="s">
        <v>347</v>
      </c>
      <c r="G59" s="751"/>
      <c r="H59" s="751"/>
      <c r="I59" s="751"/>
      <c r="J59" s="751"/>
      <c r="K59" s="751"/>
      <c r="L59" s="751"/>
      <c r="M59" s="175"/>
      <c r="N59" s="173"/>
      <c r="O59" s="173"/>
      <c r="P59" s="11"/>
      <c r="Q59" s="173"/>
      <c r="R59" s="132"/>
      <c r="S59" s="51"/>
    </row>
    <row r="60" spans="1:24">
      <c r="G60" s="175"/>
      <c r="H60" s="175"/>
      <c r="I60" s="175"/>
      <c r="J60" s="175"/>
      <c r="K60" s="175"/>
      <c r="L60" s="175"/>
      <c r="M60" s="175"/>
    </row>
    <row r="61" spans="1:24">
      <c r="G61" s="175"/>
      <c r="H61" s="175"/>
      <c r="I61" s="175"/>
      <c r="J61" s="175"/>
      <c r="K61" s="175"/>
      <c r="L61" s="175"/>
      <c r="M61" s="175"/>
    </row>
    <row r="62" spans="1:24">
      <c r="G62" s="175"/>
      <c r="H62" s="175"/>
      <c r="I62" s="175"/>
      <c r="J62" s="175"/>
      <c r="K62" s="175"/>
      <c r="L62" s="175"/>
      <c r="M62" s="175"/>
    </row>
    <row r="63" spans="1:24">
      <c r="G63" s="175"/>
      <c r="H63" s="175"/>
      <c r="I63" s="175"/>
      <c r="J63" s="175"/>
      <c r="K63" s="175"/>
      <c r="L63" s="175"/>
      <c r="M63" s="175"/>
    </row>
    <row r="64" spans="1:24">
      <c r="G64" s="175"/>
      <c r="H64" s="175"/>
      <c r="I64" s="175"/>
      <c r="J64" s="175"/>
      <c r="K64" s="175"/>
      <c r="L64" s="175"/>
      <c r="M64" s="175"/>
    </row>
    <row r="65" spans="7:13">
      <c r="G65" s="175"/>
      <c r="H65" s="175"/>
      <c r="I65" s="175"/>
      <c r="J65" s="175"/>
      <c r="K65" s="175"/>
      <c r="L65" s="175"/>
      <c r="M65" s="175"/>
    </row>
  </sheetData>
  <mergeCells count="10">
    <mergeCell ref="S4:S5"/>
    <mergeCell ref="A55:C55"/>
    <mergeCell ref="B58:C58"/>
    <mergeCell ref="F59:L59"/>
    <mergeCell ref="D4:H4"/>
    <mergeCell ref="A1:C3"/>
    <mergeCell ref="D1:Q1"/>
    <mergeCell ref="Q4:Q5"/>
    <mergeCell ref="D2:Q2"/>
    <mergeCell ref="D3:Q3"/>
  </mergeCells>
  <hyperlinks>
    <hyperlink ref="C53" r:id="rId1" display="https://5202729.app.netsuite.com/app/reporting/reportrunner.nl?fromreport=667&amp;regtx,tranline,kacct,x,alltranline5,IN,x,x=1166&amp;cr=293" xr:uid="{CF4E4AFF-17A3-48B4-B4C9-9B5047DE21E7}"/>
  </hyperlinks>
  <printOptions horizontalCentered="1"/>
  <pageMargins left="0.25" right="0.25" top="0.75" bottom="0.25" header="0.25" footer="0.1"/>
  <pageSetup scale="33" orientation="landscape" horizontalDpi="300" verticalDpi="300" r:id="rId2"/>
  <headerFooter alignWithMargins="0">
    <oddFooter>&amp;R&amp;"Arial,Regular"&amp;10Date: &amp;D</oddFooter>
  </headerFooter>
  <colBreaks count="1" manualBreakCount="1">
    <brk id="9" max="1048575" man="1"/>
  </colBreak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tabColor theme="3" tint="0.39997558519241921"/>
    <pageSetUpPr fitToPage="1"/>
  </sheetPr>
  <dimension ref="A1:AG82"/>
  <sheetViews>
    <sheetView zoomScale="50" zoomScaleNormal="50" workbookViewId="0">
      <selection activeCell="A11" sqref="A11:XFD19"/>
    </sheetView>
  </sheetViews>
  <sheetFormatPr defaultColWidth="7.77734375" defaultRowHeight="26.25"/>
  <cols>
    <col min="1" max="1" width="14.5546875" style="22" customWidth="1"/>
    <col min="2" max="2" width="26.44140625" style="22" customWidth="1"/>
    <col min="3" max="3" width="17.44140625" style="22" customWidth="1"/>
    <col min="4" max="4" width="17.5546875" style="22" customWidth="1"/>
    <col min="5" max="5" width="17" style="22" customWidth="1"/>
    <col min="6" max="8" width="18" style="22" customWidth="1"/>
    <col min="9" max="9" width="19.5546875" style="22" customWidth="1"/>
    <col min="10" max="10" width="19.44140625" style="22" customWidth="1"/>
    <col min="11" max="11" width="17.21875" style="22" customWidth="1"/>
    <col min="12" max="15" width="18" style="22" customWidth="1"/>
    <col min="16" max="16" width="1.109375" style="15" customWidth="1"/>
    <col min="17" max="17" width="18.88671875" style="22" customWidth="1"/>
    <col min="18" max="18" width="7.44140625" style="345" bestFit="1" customWidth="1"/>
    <col min="19" max="19" width="23.109375" style="44" customWidth="1"/>
    <col min="20" max="20" width="1.77734375" style="44" customWidth="1"/>
    <col min="21" max="21" width="20.109375" style="44" customWidth="1"/>
    <col min="22" max="22" width="1.88671875" style="22" customWidth="1"/>
    <col min="23" max="23" width="19.6640625" style="22" customWidth="1"/>
    <col min="24" max="24" width="8.5546875" style="22" customWidth="1"/>
    <col min="25" max="25" width="17" style="22" customWidth="1"/>
    <col min="26" max="26" width="27.44140625" style="22" bestFit="1" customWidth="1"/>
    <col min="27" max="27" width="19.6640625" style="22" customWidth="1"/>
    <col min="28" max="16384" width="7.77734375" style="22"/>
  </cols>
  <sheetData>
    <row r="1" spans="1:29" s="5" customFormat="1" ht="39" customHeight="1">
      <c r="A1" s="211" t="s">
        <v>0</v>
      </c>
      <c r="B1" s="212"/>
      <c r="C1" s="2"/>
      <c r="D1" s="787" t="s">
        <v>113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296"/>
      <c r="S1" s="3"/>
      <c r="T1" s="4"/>
      <c r="U1" s="4"/>
      <c r="AA1" s="22"/>
    </row>
    <row r="2" spans="1:29" s="5" customFormat="1" ht="32.25" customHeight="1" thickBot="1">
      <c r="A2" s="213" t="s">
        <v>77</v>
      </c>
      <c r="B2" s="214">
        <f ca="1">TODAY()</f>
        <v>44739</v>
      </c>
      <c r="C2" s="215" t="s">
        <v>70</v>
      </c>
      <c r="D2" s="789" t="s">
        <v>3</v>
      </c>
      <c r="E2" s="789"/>
      <c r="F2" s="789"/>
      <c r="G2" s="789"/>
      <c r="H2" s="789"/>
      <c r="I2" s="789"/>
      <c r="J2" s="789"/>
      <c r="K2" s="789"/>
      <c r="L2" s="789"/>
      <c r="M2" s="789"/>
      <c r="N2" s="789"/>
      <c r="O2" s="789"/>
      <c r="P2" s="789"/>
      <c r="Q2" s="789"/>
      <c r="R2" s="297"/>
      <c r="S2" s="8"/>
      <c r="T2" s="4"/>
      <c r="U2" s="4"/>
      <c r="AA2" s="22"/>
    </row>
    <row r="3" spans="1:29" s="5" customFormat="1" ht="32.25" customHeight="1" thickBot="1">
      <c r="A3" s="298" t="s">
        <v>78</v>
      </c>
      <c r="B3" s="299"/>
      <c r="C3" s="300"/>
      <c r="D3" s="301"/>
      <c r="E3" s="790" t="s">
        <v>114</v>
      </c>
      <c r="F3" s="790"/>
      <c r="G3" s="790"/>
      <c r="H3" s="15"/>
      <c r="I3" s="791" t="s">
        <v>115</v>
      </c>
      <c r="J3" s="791"/>
      <c r="K3" s="791"/>
      <c r="L3" s="302" t="str">
        <f>'[5]Input Wrksht '!D3</f>
        <v>Dec</v>
      </c>
      <c r="M3" s="17"/>
      <c r="N3" s="17"/>
      <c r="O3" s="11"/>
      <c r="P3" s="11"/>
      <c r="Q3" s="18"/>
      <c r="R3" s="220"/>
      <c r="S3" s="23" t="s">
        <v>10</v>
      </c>
      <c r="T3" s="220"/>
      <c r="U3" s="220"/>
      <c r="V3" s="220"/>
      <c r="W3" s="24" t="s">
        <v>79</v>
      </c>
      <c r="AA3" s="22"/>
    </row>
    <row r="4" spans="1:29" s="5" customFormat="1" ht="46.5">
      <c r="A4" s="303" t="s">
        <v>116</v>
      </c>
      <c r="B4" s="304" t="s">
        <v>117</v>
      </c>
      <c r="C4" s="305" t="s">
        <v>112</v>
      </c>
      <c r="D4" s="306"/>
      <c r="E4" s="307" t="s">
        <v>118</v>
      </c>
      <c r="F4" s="308" t="s">
        <v>6</v>
      </c>
      <c r="G4" s="309" t="s">
        <v>7</v>
      </c>
      <c r="H4" s="310"/>
      <c r="I4" s="310"/>
      <c r="J4" s="310"/>
      <c r="K4" s="310"/>
      <c r="L4" s="310"/>
      <c r="M4" s="310"/>
      <c r="N4" s="311"/>
      <c r="O4" s="236"/>
      <c r="P4" s="11"/>
      <c r="Q4" s="415" t="s">
        <v>140</v>
      </c>
      <c r="R4" s="220"/>
      <c r="S4" s="221" t="s">
        <v>80</v>
      </c>
      <c r="T4" s="220"/>
      <c r="U4" s="220"/>
      <c r="V4" s="220"/>
      <c r="W4" s="222">
        <v>2017</v>
      </c>
      <c r="AA4" s="22"/>
    </row>
    <row r="5" spans="1:29" ht="30.75" customHeight="1" thickBot="1">
      <c r="A5" s="15"/>
      <c r="B5" s="223" t="s">
        <v>11</v>
      </c>
      <c r="C5" s="223"/>
      <c r="D5" s="312" t="s">
        <v>87</v>
      </c>
      <c r="E5" s="312" t="s">
        <v>87</v>
      </c>
      <c r="F5" s="312" t="s">
        <v>87</v>
      </c>
      <c r="G5" s="312" t="s">
        <v>87</v>
      </c>
      <c r="H5" s="312" t="s">
        <v>87</v>
      </c>
      <c r="I5" s="312" t="s">
        <v>87</v>
      </c>
      <c r="J5" s="312" t="s">
        <v>87</v>
      </c>
      <c r="K5" s="312" t="s">
        <v>87</v>
      </c>
      <c r="L5" s="312" t="s">
        <v>87</v>
      </c>
      <c r="M5" s="312" t="s">
        <v>87</v>
      </c>
      <c r="N5" s="312" t="s">
        <v>87</v>
      </c>
      <c r="O5" s="312" t="s">
        <v>70</v>
      </c>
      <c r="P5" s="237"/>
      <c r="Q5" s="416">
        <v>2018</v>
      </c>
      <c r="R5" s="225"/>
      <c r="S5" s="224" t="s">
        <v>81</v>
      </c>
      <c r="T5" s="225"/>
      <c r="U5" s="792" t="s">
        <v>119</v>
      </c>
      <c r="V5" s="225"/>
      <c r="W5" s="226" t="s">
        <v>14</v>
      </c>
    </row>
    <row r="6" spans="1:29" s="5" customFormat="1" ht="78.75">
      <c r="A6" s="34" t="s">
        <v>15</v>
      </c>
      <c r="B6" s="34"/>
      <c r="C6" s="34"/>
      <c r="D6" s="313" t="s">
        <v>82</v>
      </c>
      <c r="E6" s="313" t="s">
        <v>83</v>
      </c>
      <c r="F6" s="313" t="s">
        <v>84</v>
      </c>
      <c r="G6" s="313" t="s">
        <v>85</v>
      </c>
      <c r="H6" s="313" t="s">
        <v>20</v>
      </c>
      <c r="I6" s="314" t="s">
        <v>21</v>
      </c>
      <c r="J6" s="313" t="s">
        <v>22</v>
      </c>
      <c r="K6" s="313" t="s">
        <v>23</v>
      </c>
      <c r="L6" s="313" t="s">
        <v>24</v>
      </c>
      <c r="M6" s="313" t="s">
        <v>25</v>
      </c>
      <c r="N6" s="313" t="s">
        <v>26</v>
      </c>
      <c r="O6" s="313" t="s">
        <v>27</v>
      </c>
      <c r="P6" s="11"/>
      <c r="Q6" s="238" t="s">
        <v>88</v>
      </c>
      <c r="R6" s="239"/>
      <c r="S6" s="40" t="s">
        <v>29</v>
      </c>
      <c r="T6" s="41"/>
      <c r="U6" s="793"/>
      <c r="W6" s="43" t="s">
        <v>29</v>
      </c>
      <c r="AA6" s="22"/>
    </row>
    <row r="7" spans="1:29" s="44" customFormat="1" ht="34.5" customHeight="1">
      <c r="A7" s="240" t="s">
        <v>89</v>
      </c>
      <c r="B7" s="241"/>
      <c r="C7" s="240"/>
      <c r="D7" s="315">
        <f>'[5]Input Wrksht '!F7</f>
        <v>0</v>
      </c>
      <c r="E7" s="315">
        <f>'[5]Input Wrksht '!G7</f>
        <v>0</v>
      </c>
      <c r="F7" s="315">
        <f>'[5]Input Wrksht '!H7</f>
        <v>0</v>
      </c>
      <c r="G7" s="316">
        <f>'[5]Input Wrksht '!I7</f>
        <v>2846</v>
      </c>
      <c r="H7" s="316">
        <f>'[5]Input Wrksht '!J7</f>
        <v>2557.1999999999998</v>
      </c>
      <c r="I7" s="316">
        <f>'[5]Input Wrksht '!K7</f>
        <v>6919.5</v>
      </c>
      <c r="J7" s="316">
        <f>'[5]Input Wrksht '!L7</f>
        <v>52503.25</v>
      </c>
      <c r="K7" s="316">
        <f>'[5]Input Wrksht '!M7</f>
        <v>34875.15</v>
      </c>
      <c r="L7" s="316">
        <f>'[5]Input Wrksht '!N7</f>
        <v>2572.25</v>
      </c>
      <c r="M7" s="316">
        <f>'[5]Input Wrksht '!O7</f>
        <v>8310.25</v>
      </c>
      <c r="N7" s="316">
        <f>'[5]Input Wrksht '!P7</f>
        <v>9939</v>
      </c>
      <c r="O7" s="316">
        <f>'[5]Input Wrksht '!Q7</f>
        <v>2038.75</v>
      </c>
      <c r="P7" s="229"/>
      <c r="Q7" s="230">
        <f>SUM(D7:O7)</f>
        <v>122561.35</v>
      </c>
      <c r="R7" s="243">
        <f>Q7/S7</f>
        <v>1.0759962249242792</v>
      </c>
      <c r="S7" s="50">
        <v>113905</v>
      </c>
      <c r="T7" s="51"/>
      <c r="U7" s="51">
        <f t="shared" ref="U7:U11" si="0">+Q7-S7</f>
        <v>8656.3500000000058</v>
      </c>
      <c r="W7" s="52">
        <v>137206</v>
      </c>
    </row>
    <row r="8" spans="1:29" s="44" customFormat="1" ht="35.1" customHeight="1">
      <c r="A8" s="240" t="s">
        <v>90</v>
      </c>
      <c r="B8" s="241"/>
      <c r="C8" s="240"/>
      <c r="D8" s="315">
        <f>'[5]Input Wrksht '!F9</f>
        <v>0</v>
      </c>
      <c r="E8" s="315">
        <f>'[5]Input Wrksht '!G9</f>
        <v>0</v>
      </c>
      <c r="F8" s="315">
        <f>'[5]Input Wrksht '!H9</f>
        <v>0</v>
      </c>
      <c r="G8" s="316">
        <f>'[5]Input Wrksht '!I9</f>
        <v>8420</v>
      </c>
      <c r="H8" s="316">
        <f>'[5]Input Wrksht '!J9</f>
        <v>2569.5</v>
      </c>
      <c r="I8" s="316">
        <f>'[5]Input Wrksht '!K9</f>
        <v>10114.120000000001</v>
      </c>
      <c r="J8" s="316">
        <f>'[5]Input Wrksht '!L9</f>
        <v>46499.02</v>
      </c>
      <c r="K8" s="316">
        <f>'[5]Input Wrksht '!M9</f>
        <v>43974.75</v>
      </c>
      <c r="L8" s="316">
        <f>'[5]Input Wrksht '!N9</f>
        <v>7109.37</v>
      </c>
      <c r="M8" s="316">
        <f>'[5]Input Wrksht '!O9</f>
        <v>17013.349999999999</v>
      </c>
      <c r="N8" s="316">
        <f>'[5]Input Wrksht '!P9</f>
        <v>10351</v>
      </c>
      <c r="O8" s="316">
        <f>'[5]Input Wrksht '!Q9</f>
        <v>3640</v>
      </c>
      <c r="P8" s="229"/>
      <c r="Q8" s="230">
        <f t="shared" ref="Q8:Q11" si="1">SUM(D8:O8)</f>
        <v>149691.10999999999</v>
      </c>
      <c r="R8" s="243">
        <f>Q8/S8</f>
        <v>1.1704676675267807</v>
      </c>
      <c r="S8" s="50">
        <v>127890</v>
      </c>
      <c r="T8" s="51"/>
      <c r="U8" s="51">
        <f t="shared" si="0"/>
        <v>21801.109999999986</v>
      </c>
      <c r="W8" s="52">
        <v>151511.54</v>
      </c>
    </row>
    <row r="9" spans="1:29" s="44" customFormat="1" ht="35.1" customHeight="1">
      <c r="A9" s="240" t="s">
        <v>91</v>
      </c>
      <c r="B9" s="241"/>
      <c r="C9" s="240"/>
      <c r="D9" s="317">
        <v>0</v>
      </c>
      <c r="E9" s="317">
        <v>0</v>
      </c>
      <c r="F9" s="317">
        <v>0</v>
      </c>
      <c r="G9" s="317">
        <v>0</v>
      </c>
      <c r="H9" s="317">
        <v>0</v>
      </c>
      <c r="I9" s="317">
        <v>0</v>
      </c>
      <c r="J9" s="317">
        <v>0</v>
      </c>
      <c r="K9" s="317">
        <v>0</v>
      </c>
      <c r="L9" s="317">
        <v>0</v>
      </c>
      <c r="M9" s="317">
        <v>0</v>
      </c>
      <c r="N9" s="317">
        <v>0</v>
      </c>
      <c r="O9" s="317">
        <v>0</v>
      </c>
      <c r="P9" s="229"/>
      <c r="Q9" s="318">
        <f t="shared" si="1"/>
        <v>0</v>
      </c>
      <c r="R9" s="243" t="s">
        <v>11</v>
      </c>
      <c r="S9" s="50">
        <v>185</v>
      </c>
      <c r="T9" s="51"/>
      <c r="U9" s="51">
        <f t="shared" si="0"/>
        <v>-185</v>
      </c>
      <c r="W9" s="52">
        <v>0</v>
      </c>
    </row>
    <row r="10" spans="1:29" s="44" customFormat="1" ht="35.1" customHeight="1">
      <c r="A10" s="240" t="s">
        <v>92</v>
      </c>
      <c r="B10" s="241"/>
      <c r="C10" s="240"/>
      <c r="D10" s="319">
        <v>0</v>
      </c>
      <c r="E10" s="319">
        <v>0</v>
      </c>
      <c r="F10" s="319">
        <v>0</v>
      </c>
      <c r="G10" s="320">
        <f>'[5]Input Wrksht '!I8</f>
        <v>3000</v>
      </c>
      <c r="H10" s="320">
        <f>'[5]Input Wrksht '!J8</f>
        <v>0</v>
      </c>
      <c r="I10" s="320">
        <f>'[5]Input Wrksht '!K8</f>
        <v>0</v>
      </c>
      <c r="J10" s="320">
        <f>'[5]Input Wrksht '!L8</f>
        <v>0</v>
      </c>
      <c r="K10" s="320">
        <f>'[5]Input Wrksht '!M8</f>
        <v>900</v>
      </c>
      <c r="L10" s="320">
        <f>'[5]Input Wrksht '!N8</f>
        <v>843.75</v>
      </c>
      <c r="M10" s="320">
        <f>'[5]Input Wrksht '!O8</f>
        <v>2750</v>
      </c>
      <c r="N10" s="320">
        <f>'[5]Input Wrksht '!P8</f>
        <v>0</v>
      </c>
      <c r="O10" s="320">
        <f>'[5]Input Wrksht '!Q8</f>
        <v>0</v>
      </c>
      <c r="P10" s="229"/>
      <c r="Q10" s="230">
        <f t="shared" si="1"/>
        <v>7493.75</v>
      </c>
      <c r="R10" s="243" t="s">
        <v>11</v>
      </c>
      <c r="S10" s="50">
        <v>6750</v>
      </c>
      <c r="T10" s="51"/>
      <c r="U10" s="51">
        <f t="shared" si="0"/>
        <v>743.75</v>
      </c>
      <c r="W10" s="52">
        <v>6250</v>
      </c>
    </row>
    <row r="11" spans="1:29" s="44" customFormat="1" ht="30" customHeight="1">
      <c r="A11" s="45" t="s">
        <v>93</v>
      </c>
      <c r="B11" s="241"/>
      <c r="C11" s="240"/>
      <c r="D11" s="319">
        <v>0</v>
      </c>
      <c r="E11" s="319">
        <v>0</v>
      </c>
      <c r="F11" s="319">
        <v>0</v>
      </c>
      <c r="G11" s="320">
        <f>'[5]Input Wrksht '!I10</f>
        <v>695.04</v>
      </c>
      <c r="H11" s="320">
        <f>'[5]Input Wrksht '!J10</f>
        <v>0</v>
      </c>
      <c r="I11" s="320">
        <f>'[5]Input Wrksht '!K10</f>
        <v>0</v>
      </c>
      <c r="J11" s="320">
        <f>'[5]Input Wrksht '!L10</f>
        <v>0</v>
      </c>
      <c r="K11" s="320">
        <f>'[5]Input Wrksht '!M10</f>
        <v>0</v>
      </c>
      <c r="L11" s="320">
        <f>'[5]Input Wrksht '!N10+'[5]Input Wrksht '!N11</f>
        <v>248</v>
      </c>
      <c r="M11" s="320">
        <f>'[5]Input Wrksht '!O10+'[5]Input Wrksht '!O11</f>
        <v>410</v>
      </c>
      <c r="N11" s="320">
        <f>'[5]Input Wrksht '!P10+'[5]Input Wrksht '!P11</f>
        <v>0</v>
      </c>
      <c r="O11" s="320">
        <f>'[5]Input Wrksht '!Q10+'[5]Input Wrksht '!Q11</f>
        <v>0</v>
      </c>
      <c r="P11" s="229"/>
      <c r="Q11" s="230">
        <f t="shared" si="1"/>
        <v>1353.04</v>
      </c>
      <c r="R11" s="243" t="s">
        <v>11</v>
      </c>
      <c r="S11" s="50">
        <v>0</v>
      </c>
      <c r="T11" s="51"/>
      <c r="U11" s="55">
        <f t="shared" si="0"/>
        <v>1353.04</v>
      </c>
      <c r="W11" s="52">
        <v>1813.85</v>
      </c>
    </row>
    <row r="12" spans="1:29" ht="16.899999999999999" customHeight="1">
      <c r="B12" s="56"/>
      <c r="C12" s="56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56"/>
      <c r="Q12" s="56" t="s">
        <v>11</v>
      </c>
      <c r="R12" s="243"/>
      <c r="S12" s="56"/>
      <c r="T12" s="56"/>
      <c r="U12" s="56"/>
      <c r="V12" s="56"/>
      <c r="W12" s="56"/>
      <c r="X12" s="56"/>
      <c r="Y12" s="56"/>
      <c r="Z12" s="322" t="s">
        <v>120</v>
      </c>
    </row>
    <row r="13" spans="1:29" s="4" customFormat="1" ht="36" customHeight="1" thickBot="1">
      <c r="B13" s="62" t="s">
        <v>37</v>
      </c>
      <c r="C13" s="62"/>
      <c r="D13" s="323">
        <f>SUM($D$7:D12)</f>
        <v>0</v>
      </c>
      <c r="E13" s="323">
        <f t="shared" ref="E13:N13" si="2">SUM(E7:E12)</f>
        <v>0</v>
      </c>
      <c r="F13" s="323">
        <f t="shared" si="2"/>
        <v>0</v>
      </c>
      <c r="G13" s="323">
        <f t="shared" si="2"/>
        <v>14961.04</v>
      </c>
      <c r="H13" s="324">
        <f t="shared" si="2"/>
        <v>5126.7</v>
      </c>
      <c r="I13" s="324">
        <f t="shared" si="2"/>
        <v>17033.620000000003</v>
      </c>
      <c r="J13" s="324">
        <f t="shared" si="2"/>
        <v>99002.26999999999</v>
      </c>
      <c r="K13" s="324">
        <f t="shared" si="2"/>
        <v>79749.899999999994</v>
      </c>
      <c r="L13" s="324">
        <f t="shared" si="2"/>
        <v>10773.369999999999</v>
      </c>
      <c r="M13" s="324">
        <f t="shared" si="2"/>
        <v>28483.599999999999</v>
      </c>
      <c r="N13" s="324">
        <f t="shared" si="2"/>
        <v>20290</v>
      </c>
      <c r="O13" s="325">
        <f>SUM(O7:O11)</f>
        <v>5678.75</v>
      </c>
      <c r="P13" s="229"/>
      <c r="Q13" s="231">
        <f>SUM(Q7:Q11)</f>
        <v>281099.24999999994</v>
      </c>
      <c r="R13" s="243">
        <f>Q13/S13</f>
        <v>1.1301381015559038</v>
      </c>
      <c r="S13" s="283">
        <f>SUM(S7:S11)</f>
        <v>248730</v>
      </c>
      <c r="T13" s="71"/>
      <c r="U13" s="64">
        <f>SUM(U7:U12)</f>
        <v>32369.249999999993</v>
      </c>
      <c r="W13" s="72">
        <f>SUM(W7:W11)</f>
        <v>296781.39</v>
      </c>
      <c r="Z13" s="326">
        <f>'[6]LOD 2018 Accounting R&amp;E'!$Q$14-'[6]LOD 2018 Accounting R&amp;E'!$G$14-'[6]LOD 2018 Accounting R&amp;E'!$H$14+G13+H13</f>
        <v>252745.74000000002</v>
      </c>
      <c r="AA13" s="155"/>
    </row>
    <row r="14" spans="1:29" s="330" customFormat="1" ht="27" thickTop="1">
      <c r="A14" s="247"/>
      <c r="B14" s="248" t="s">
        <v>94</v>
      </c>
      <c r="C14" s="249">
        <f ca="1">B2</f>
        <v>44739</v>
      </c>
      <c r="D14" s="327">
        <v>0</v>
      </c>
      <c r="E14" s="327">
        <v>0.01</v>
      </c>
      <c r="F14" s="327">
        <v>0</v>
      </c>
      <c r="G14" s="327">
        <v>14213.44</v>
      </c>
      <c r="H14" s="327">
        <v>4587.26</v>
      </c>
      <c r="I14" s="328">
        <v>12365.5</v>
      </c>
      <c r="J14" s="327">
        <v>105694.75</v>
      </c>
      <c r="K14" s="327">
        <v>63797.25</v>
      </c>
      <c r="L14" s="327">
        <v>8591.5</v>
      </c>
      <c r="M14" s="327">
        <v>24142.07</v>
      </c>
      <c r="N14" s="327">
        <v>22405.040000000001</v>
      </c>
      <c r="O14" s="327">
        <v>6490</v>
      </c>
      <c r="P14" s="250"/>
      <c r="Q14" s="251">
        <v>262286.82</v>
      </c>
      <c r="R14" s="243"/>
      <c r="S14" s="232"/>
      <c r="T14" s="69"/>
      <c r="U14" s="329"/>
      <c r="V14" s="69"/>
      <c r="Y14" s="172"/>
      <c r="Z14" s="172"/>
      <c r="AA14" s="331"/>
      <c r="AB14" s="155"/>
      <c r="AC14" s="155"/>
    </row>
    <row r="15" spans="1:29" s="340" customFormat="1">
      <c r="A15" s="252"/>
      <c r="B15" s="332"/>
      <c r="C15" s="333" t="s">
        <v>121</v>
      </c>
      <c r="D15" s="334">
        <v>0</v>
      </c>
      <c r="E15" s="334">
        <v>0</v>
      </c>
      <c r="F15" s="334">
        <v>0</v>
      </c>
      <c r="G15" s="334">
        <v>14961.04</v>
      </c>
      <c r="H15" s="334">
        <v>5127</v>
      </c>
      <c r="I15" s="334">
        <v>17839.5</v>
      </c>
      <c r="J15" s="334">
        <v>104213</v>
      </c>
      <c r="K15" s="334">
        <v>79749.899999999994</v>
      </c>
      <c r="L15" s="334">
        <v>10961.1</v>
      </c>
      <c r="M15" s="334">
        <v>28486.3</v>
      </c>
      <c r="N15" s="334">
        <v>20290</v>
      </c>
      <c r="O15" s="253"/>
      <c r="P15" s="254"/>
      <c r="Q15" s="255">
        <f>SUM(D15:O15)</f>
        <v>281627.83999999997</v>
      </c>
      <c r="R15" s="335">
        <f>Q15/S13</f>
        <v>1.1322632573473244</v>
      </c>
      <c r="S15" s="336"/>
      <c r="T15" s="337"/>
      <c r="U15" s="338"/>
      <c r="V15" s="339"/>
      <c r="Y15" s="341"/>
      <c r="Z15" s="341"/>
      <c r="AA15" s="172"/>
      <c r="AB15" s="331"/>
      <c r="AC15" s="331"/>
    </row>
    <row r="16" spans="1:29" s="345" customFormat="1" ht="41.45" customHeight="1">
      <c r="A16" s="111" t="s">
        <v>86</v>
      </c>
      <c r="B16" s="233"/>
      <c r="C16" s="233"/>
      <c r="D16" s="99">
        <v>750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257"/>
      <c r="P16" s="11"/>
      <c r="Q16" s="794" t="s">
        <v>122</v>
      </c>
      <c r="R16" s="794"/>
      <c r="S16" s="232"/>
      <c r="T16" s="342"/>
      <c r="U16" s="343"/>
      <c r="V16" s="344"/>
      <c r="W16" s="330"/>
      <c r="Y16" s="172"/>
      <c r="Z16" s="172"/>
      <c r="AA16" s="331"/>
      <c r="AB16" s="172"/>
      <c r="AC16" s="172"/>
    </row>
    <row r="17" spans="1:29" s="340" customFormat="1">
      <c r="A17" s="252"/>
      <c r="B17" s="332"/>
      <c r="C17" s="346" t="s">
        <v>123</v>
      </c>
      <c r="D17" s="347" t="s">
        <v>124</v>
      </c>
      <c r="E17" s="347" t="s">
        <v>124</v>
      </c>
      <c r="F17" s="347" t="s">
        <v>124</v>
      </c>
      <c r="G17" s="347">
        <v>574</v>
      </c>
      <c r="H17" s="347">
        <v>90</v>
      </c>
      <c r="I17" s="347">
        <v>287</v>
      </c>
      <c r="J17" s="348">
        <v>1587</v>
      </c>
      <c r="K17" s="347">
        <v>1048</v>
      </c>
      <c r="L17" s="347">
        <v>144</v>
      </c>
      <c r="M17" s="347">
        <v>653</v>
      </c>
      <c r="N17" s="347">
        <v>309</v>
      </c>
      <c r="O17" s="290"/>
      <c r="P17" s="258"/>
      <c r="Q17" s="259">
        <f>SUM(D17:O17)</f>
        <v>4692</v>
      </c>
      <c r="R17" s="256">
        <f>Q17/S17</f>
        <v>0.77145675764551136</v>
      </c>
      <c r="S17" s="284">
        <v>6082</v>
      </c>
      <c r="T17" s="349"/>
      <c r="U17" s="350">
        <f>Q18-S17</f>
        <v>-2055</v>
      </c>
      <c r="V17" s="351"/>
      <c r="W17" s="352">
        <v>9789</v>
      </c>
      <c r="Y17" s="341"/>
      <c r="Z17" s="341"/>
      <c r="AA17" s="349"/>
      <c r="AB17" s="331"/>
      <c r="AC17" s="331"/>
    </row>
    <row r="18" spans="1:29" s="285" customFormat="1" ht="24.6" customHeight="1">
      <c r="A18" s="247"/>
      <c r="B18" s="248" t="s">
        <v>95</v>
      </c>
      <c r="C18" s="249">
        <f ca="1">B2</f>
        <v>44739</v>
      </c>
      <c r="D18" s="353">
        <v>0</v>
      </c>
      <c r="E18" s="353">
        <v>1</v>
      </c>
      <c r="F18" s="353">
        <v>0</v>
      </c>
      <c r="G18" s="353">
        <v>232</v>
      </c>
      <c r="H18" s="353">
        <v>66</v>
      </c>
      <c r="I18" s="353">
        <v>245</v>
      </c>
      <c r="J18" s="353">
        <v>1635</v>
      </c>
      <c r="K18" s="353">
        <v>875</v>
      </c>
      <c r="L18" s="353">
        <v>130</v>
      </c>
      <c r="M18" s="353">
        <v>338</v>
      </c>
      <c r="N18" s="353">
        <v>425</v>
      </c>
      <c r="O18" s="353">
        <v>80</v>
      </c>
      <c r="P18" s="354"/>
      <c r="Q18" s="260">
        <v>4027</v>
      </c>
      <c r="R18" s="243"/>
      <c r="S18" s="285" t="s">
        <v>11</v>
      </c>
      <c r="T18" s="101"/>
      <c r="V18" s="101"/>
      <c r="Y18" s="172"/>
      <c r="Z18" s="172"/>
      <c r="AA18" s="172"/>
      <c r="AB18" s="349"/>
      <c r="AC18" s="349"/>
    </row>
    <row r="19" spans="1:29" s="5" customFormat="1" ht="89.45" customHeight="1">
      <c r="A19" s="261" t="s">
        <v>42</v>
      </c>
      <c r="B19" s="119"/>
      <c r="C19" s="119"/>
      <c r="D19" s="120"/>
      <c r="E19" s="120"/>
      <c r="F19" s="120"/>
      <c r="G19" s="121"/>
      <c r="H19" s="121"/>
      <c r="I19" s="121"/>
      <c r="J19" s="121"/>
      <c r="K19" s="121"/>
      <c r="L19" s="121"/>
      <c r="M19" s="121"/>
      <c r="N19" s="121"/>
      <c r="O19" s="122" t="s">
        <v>125</v>
      </c>
      <c r="P19" s="229"/>
      <c r="Q19" s="238" t="s">
        <v>96</v>
      </c>
      <c r="R19" s="243"/>
      <c r="S19" s="40" t="s">
        <v>44</v>
      </c>
      <c r="T19" s="125"/>
      <c r="U19" s="355" t="s">
        <v>119</v>
      </c>
      <c r="W19" s="126" t="s">
        <v>43</v>
      </c>
      <c r="AA19" s="356"/>
    </row>
    <row r="20" spans="1:29" s="361" customFormat="1" ht="21" customHeight="1">
      <c r="A20" s="148"/>
      <c r="B20" s="148" t="s">
        <v>11</v>
      </c>
      <c r="C20" s="148"/>
      <c r="D20" s="357" t="str">
        <f t="shared" ref="D20:O20" si="3">IF((+D$7+D$8)=0," ",D21/(+D$7+D$8))</f>
        <v xml:space="preserve"> </v>
      </c>
      <c r="E20" s="357" t="str">
        <f t="shared" si="3"/>
        <v xml:space="preserve"> </v>
      </c>
      <c r="F20" s="357" t="str">
        <f t="shared" si="3"/>
        <v xml:space="preserve"> </v>
      </c>
      <c r="G20" s="357">
        <f t="shared" si="3"/>
        <v>0.3187156044736375</v>
      </c>
      <c r="H20" s="357">
        <f t="shared" si="3"/>
        <v>0.24000039011449864</v>
      </c>
      <c r="I20" s="357">
        <f t="shared" si="3"/>
        <v>0.24000007044891219</v>
      </c>
      <c r="J20" s="357">
        <f t="shared" si="3"/>
        <v>0.23999995151626324</v>
      </c>
      <c r="K20" s="357">
        <f t="shared" si="3"/>
        <v>0.24273943277036497</v>
      </c>
      <c r="L20" s="357">
        <f t="shared" si="3"/>
        <v>0.13069610251176972</v>
      </c>
      <c r="M20" s="358">
        <f t="shared" si="3"/>
        <v>0.23999984204457503</v>
      </c>
      <c r="N20" s="358">
        <f t="shared" si="3"/>
        <v>0.24000000000000002</v>
      </c>
      <c r="O20" s="358">
        <f t="shared" si="3"/>
        <v>0.2321514417785604</v>
      </c>
      <c r="P20" s="11"/>
      <c r="Q20" s="263">
        <f>IF((+Q$7+Q$8)=0," ",Q21/(+Q$7+Q$8))</f>
        <v>0.2399999985307755</v>
      </c>
      <c r="R20" s="243"/>
      <c r="S20" s="286">
        <f>IF((+S$7+S$8)=0," ",S21/(+S$7+S$8))</f>
        <v>0.24000082714696333</v>
      </c>
      <c r="T20" s="124"/>
      <c r="U20" s="359"/>
      <c r="V20" s="124"/>
      <c r="W20" s="360">
        <f>IF((+W$7+W$8)=0," ",W21/(+W$7+W$8))</f>
        <v>0.23999927403094384</v>
      </c>
      <c r="Y20" s="172" t="s">
        <v>126</v>
      </c>
      <c r="Z20" s="172"/>
      <c r="AA20" s="155"/>
      <c r="AB20" s="356"/>
      <c r="AC20" s="356"/>
    </row>
    <row r="21" spans="1:29" s="330" customFormat="1" ht="33.75" customHeight="1">
      <c r="A21" s="264" t="s">
        <v>97</v>
      </c>
      <c r="B21" s="265"/>
      <c r="C21" s="265"/>
      <c r="D21" s="362">
        <f>'[5]Input Wrksht '!F28</f>
        <v>4744</v>
      </c>
      <c r="E21" s="362">
        <f>'[5]Input Wrksht '!G28</f>
        <v>4744</v>
      </c>
      <c r="F21" s="362">
        <f>'[5]Input Wrksht '!H28</f>
        <v>-9488</v>
      </c>
      <c r="G21" s="362">
        <f>'[5]Input Wrksht '!I28</f>
        <v>3590.65</v>
      </c>
      <c r="H21" s="362">
        <f>'[5]Input Wrksht '!J28</f>
        <v>1230.4100000000001</v>
      </c>
      <c r="I21" s="362">
        <f>'[5]Input Wrksht '!K28</f>
        <v>4088.07</v>
      </c>
      <c r="J21" s="362">
        <f>'[5]Input Wrksht '!L28</f>
        <v>23760.54</v>
      </c>
      <c r="K21" s="362">
        <f>'[5]Input Wrksht '!M28</f>
        <v>19139.98</v>
      </c>
      <c r="L21" s="362">
        <f>'[5]Input Wrksht '!N28</f>
        <v>1265.3499999999999</v>
      </c>
      <c r="M21" s="362">
        <f>'[5]Input Wrksht '!O28</f>
        <v>6077.66</v>
      </c>
      <c r="N21" s="362">
        <f>'[5]Input Wrksht '!P28</f>
        <v>4869.6000000000004</v>
      </c>
      <c r="O21" s="362">
        <f>'[5]Input Wrksht '!Q28</f>
        <v>1318.33</v>
      </c>
      <c r="P21" s="267"/>
      <c r="Q21" s="266">
        <f>SUM(D21:O21)</f>
        <v>65340.590000000004</v>
      </c>
      <c r="R21" s="243">
        <f>Q21/S21</f>
        <v>1.1259600902965656</v>
      </c>
      <c r="S21" s="53">
        <v>58031</v>
      </c>
      <c r="T21" s="132"/>
      <c r="U21" s="271">
        <f>+Q21-S21</f>
        <v>7309.5900000000038</v>
      </c>
      <c r="V21" s="132"/>
      <c r="W21" s="146">
        <v>69292</v>
      </c>
      <c r="X21" s="361"/>
      <c r="Y21" s="363">
        <f>(Q7+Q8)*0.24</f>
        <v>65340.590399999986</v>
      </c>
      <c r="Z21" s="364"/>
      <c r="AA21" s="365"/>
      <c r="AB21" s="155"/>
      <c r="AC21" s="155"/>
    </row>
    <row r="22" spans="1:29" s="127" customFormat="1" ht="27" customHeight="1">
      <c r="A22" s="124"/>
      <c r="B22" s="124"/>
      <c r="C22" s="124"/>
      <c r="D22" s="366" t="str">
        <f t="shared" ref="D22:O22" si="4">IF((+D$7+D$8)=0," ",(+D23+D24)/(+D$7+D$8))</f>
        <v xml:space="preserve"> </v>
      </c>
      <c r="E22" s="366" t="str">
        <f t="shared" si="4"/>
        <v xml:space="preserve"> </v>
      </c>
      <c r="F22" s="366" t="str">
        <f t="shared" si="4"/>
        <v xml:space="preserve"> </v>
      </c>
      <c r="G22" s="366">
        <f t="shared" si="4"/>
        <v>0.51141323734521715</v>
      </c>
      <c r="H22" s="366">
        <f t="shared" si="4"/>
        <v>0.9384128563784544</v>
      </c>
      <c r="I22" s="366">
        <f t="shared" si="4"/>
        <v>0.4882449871191738</v>
      </c>
      <c r="J22" s="366">
        <f t="shared" si="4"/>
        <v>0.11239671992754127</v>
      </c>
      <c r="K22" s="366">
        <f>IF((+K$7+K$8)=0," ",(+K23+K24)/(+K$7+K$8))</f>
        <v>0.24758816654234361</v>
      </c>
      <c r="L22" s="366">
        <f t="shared" si="4"/>
        <v>0.54882921313927591</v>
      </c>
      <c r="M22" s="366">
        <f t="shared" si="4"/>
        <v>0.23010353460601149</v>
      </c>
      <c r="N22" s="366">
        <f t="shared" si="4"/>
        <v>0.31670116523084674</v>
      </c>
      <c r="O22" s="366">
        <f t="shared" si="4"/>
        <v>1.5116125058843952</v>
      </c>
      <c r="P22" s="124"/>
      <c r="Q22" s="141">
        <f>IF((+Q$7+Q$8)=0," ",(+Q23+Q24)/(+Q$7+Q$8))</f>
        <v>0.3238987876545148</v>
      </c>
      <c r="R22" s="243"/>
      <c r="S22" s="142">
        <f>IF((+S$7+S$8)=0," ",(+S23+S24)/(+S$7+S$8))</f>
        <v>0.30624827225494766</v>
      </c>
      <c r="T22" s="124"/>
      <c r="U22" s="134"/>
      <c r="V22" s="143"/>
      <c r="W22" s="135">
        <f>IF((+W$7+W$8)=0," ",(+W23+W24)/(+W$7+W$8))</f>
        <v>0.27245573474329765</v>
      </c>
      <c r="AA22" s="44"/>
    </row>
    <row r="23" spans="1:29" s="44" customFormat="1" ht="34.5" customHeight="1">
      <c r="A23" s="240" t="s">
        <v>98</v>
      </c>
      <c r="B23" s="45"/>
      <c r="C23" s="45"/>
      <c r="D23" s="367">
        <f>'[5]Input Wrksht '!F15</f>
        <v>1875.48</v>
      </c>
      <c r="E23" s="367">
        <f>'[5]Input Wrksht '!G15</f>
        <v>3838.06</v>
      </c>
      <c r="F23" s="367">
        <f>'[5]Input Wrksht '!H15</f>
        <v>6781.47</v>
      </c>
      <c r="G23" s="367">
        <f>'[5]Input Wrksht '!I15</f>
        <v>5761.29</v>
      </c>
      <c r="H23" s="367">
        <f>'[5]Input Wrksht '!J15</f>
        <v>4810.6499999999996</v>
      </c>
      <c r="I23" s="367">
        <f>'[5]Input Wrksht '!K15</f>
        <v>8316.31</v>
      </c>
      <c r="J23" s="367">
        <f>'[5]Input Wrksht '!L15</f>
        <v>11127.27</v>
      </c>
      <c r="K23" s="367">
        <f>'[5]Input Wrksht '!M15</f>
        <v>19522.080000000002</v>
      </c>
      <c r="L23" s="367">
        <f>'[5]Input Wrksht '!N15</f>
        <v>5313.23</v>
      </c>
      <c r="M23" s="367">
        <f>'[5]Input Wrksht '!O15</f>
        <v>5826.73</v>
      </c>
      <c r="N23" s="367">
        <f>'[5]Input Wrksht '!P15</f>
        <v>6425.56</v>
      </c>
      <c r="O23" s="367">
        <f>'[5]Input Wrksht '!Q15</f>
        <v>8583.83</v>
      </c>
      <c r="P23" s="48"/>
      <c r="Q23" s="139">
        <f t="shared" ref="Q23:Q51" si="5">SUM(D23:O23)</f>
        <v>88181.959999999992</v>
      </c>
      <c r="R23" s="243">
        <f>Q23/S23</f>
        <v>1.1908595659630783</v>
      </c>
      <c r="S23" s="53">
        <v>74049</v>
      </c>
      <c r="T23" s="51"/>
      <c r="U23" s="85">
        <f>+Q23-S23</f>
        <v>14132.959999999992</v>
      </c>
      <c r="V23" s="143"/>
      <c r="W23" s="140">
        <v>78662.5</v>
      </c>
      <c r="AA23" s="365"/>
    </row>
    <row r="24" spans="1:29" s="127" customFormat="1" ht="27" customHeight="1">
      <c r="A24" s="124"/>
      <c r="B24" s="124"/>
      <c r="C24" s="124"/>
      <c r="D24" s="366">
        <f t="shared" ref="D24:Q24" si="6">IF(+D$23=0," ",D25/+D$23)</f>
        <v>0.75688357113912175</v>
      </c>
      <c r="E24" s="366">
        <f t="shared" si="6"/>
        <v>0.37969442895629563</v>
      </c>
      <c r="F24" s="366">
        <f t="shared" si="6"/>
        <v>0.24944001816715253</v>
      </c>
      <c r="G24" s="366">
        <f t="shared" si="6"/>
        <v>0.29153193121679344</v>
      </c>
      <c r="H24" s="366">
        <f t="shared" si="6"/>
        <v>0.31119079542265599</v>
      </c>
      <c r="I24" s="366">
        <f t="shared" si="6"/>
        <v>0.26957749290250121</v>
      </c>
      <c r="J24" s="366">
        <f t="shared" si="6"/>
        <v>0.2604133808202731</v>
      </c>
      <c r="K24" s="366">
        <f t="shared" si="6"/>
        <v>0.22217304713432173</v>
      </c>
      <c r="L24" s="366">
        <f t="shared" si="6"/>
        <v>0.32588651347673642</v>
      </c>
      <c r="M24" s="366">
        <f t="shared" si="6"/>
        <v>0.31986894879289074</v>
      </c>
      <c r="N24" s="366">
        <f t="shared" si="6"/>
        <v>0.30664253388031548</v>
      </c>
      <c r="O24" s="366">
        <f t="shared" si="6"/>
        <v>0.23951779100937462</v>
      </c>
      <c r="P24" s="147"/>
      <c r="Q24" s="141">
        <f t="shared" si="6"/>
        <v>0.28172995927965311</v>
      </c>
      <c r="R24" s="243"/>
      <c r="S24" s="133">
        <f>IF(+S$23=0," ",S25/+S$23)</f>
        <v>0.30098988507609825</v>
      </c>
      <c r="T24" s="124"/>
      <c r="U24" s="134"/>
      <c r="V24" s="143"/>
      <c r="W24" s="135">
        <f>IF(+W$23=0," ",W25/+W$23)</f>
        <v>0.24949397743524551</v>
      </c>
      <c r="AA24" s="44"/>
    </row>
    <row r="25" spans="1:29" s="44" customFormat="1" ht="35.1" customHeight="1">
      <c r="A25" s="45" t="s">
        <v>99</v>
      </c>
      <c r="B25" s="45"/>
      <c r="C25" s="45"/>
      <c r="D25" s="367">
        <f>'[5]Input Wrksht '!F27</f>
        <v>1419.52</v>
      </c>
      <c r="E25" s="367">
        <f>'[5]Input Wrksht '!G27</f>
        <v>1457.29</v>
      </c>
      <c r="F25" s="367">
        <f>'[5]Input Wrksht '!H27</f>
        <v>1691.57</v>
      </c>
      <c r="G25" s="367">
        <f>'[5]Input Wrksht '!I27</f>
        <v>1679.6</v>
      </c>
      <c r="H25" s="367">
        <f>'[5]Input Wrksht '!J27</f>
        <v>1497.03</v>
      </c>
      <c r="I25" s="367">
        <f>'[5]Input Wrksht '!K27</f>
        <v>2241.89</v>
      </c>
      <c r="J25" s="367">
        <f>'[5]Input Wrksht '!L27</f>
        <v>2897.69</v>
      </c>
      <c r="K25" s="367">
        <f>'[5]Input Wrksht '!M27</f>
        <v>4337.28</v>
      </c>
      <c r="L25" s="367">
        <f>'[5]Input Wrksht '!N27</f>
        <v>1731.51</v>
      </c>
      <c r="M25" s="367">
        <f>'[5]Input Wrksht '!O27</f>
        <v>1863.79</v>
      </c>
      <c r="N25" s="367">
        <f>'[5]Input Wrksht '!P27</f>
        <v>1970.35</v>
      </c>
      <c r="O25" s="367">
        <f>'[5]Input Wrksht '!Q27</f>
        <v>2055.98</v>
      </c>
      <c r="P25" s="48"/>
      <c r="Q25" s="139">
        <f t="shared" si="5"/>
        <v>24843.499999999996</v>
      </c>
      <c r="R25" s="243">
        <f>Q25/S25</f>
        <v>1.1146581119885139</v>
      </c>
      <c r="S25" s="53">
        <v>22288</v>
      </c>
      <c r="T25" s="51"/>
      <c r="U25" s="85">
        <f>+Q25-S25</f>
        <v>2555.4999999999964</v>
      </c>
      <c r="V25" s="143"/>
      <c r="W25" s="140">
        <v>19625.82</v>
      </c>
      <c r="AA25" s="365"/>
    </row>
    <row r="26" spans="1:29" s="127" customFormat="1" ht="27" customHeight="1">
      <c r="A26" s="124"/>
      <c r="B26" s="124"/>
      <c r="C26" s="124"/>
      <c r="D26" s="366" t="str">
        <f t="shared" ref="D26:O26" si="7">IF((+D$7+D$8)=0," ",D27/(+D$7+D$8))</f>
        <v xml:space="preserve"> </v>
      </c>
      <c r="E26" s="366" t="str">
        <f t="shared" si="7"/>
        <v xml:space="preserve"> </v>
      </c>
      <c r="F26" s="366" t="str">
        <f t="shared" si="7"/>
        <v xml:space="preserve"> </v>
      </c>
      <c r="G26" s="366">
        <f t="shared" si="7"/>
        <v>0</v>
      </c>
      <c r="H26" s="366">
        <f t="shared" si="7"/>
        <v>8.7034544638851501E-3</v>
      </c>
      <c r="I26" s="366">
        <f t="shared" si="7"/>
        <v>2.0423139649704523E-2</v>
      </c>
      <c r="J26" s="366">
        <f t="shared" si="7"/>
        <v>1.6565276735573841E-4</v>
      </c>
      <c r="K26" s="366">
        <f t="shared" si="7"/>
        <v>4.2232139799796827E-4</v>
      </c>
      <c r="L26" s="366">
        <f t="shared" si="7"/>
        <v>6.6486806959992241E-3</v>
      </c>
      <c r="M26" s="366">
        <f t="shared" si="7"/>
        <v>0</v>
      </c>
      <c r="N26" s="366">
        <f t="shared" si="7"/>
        <v>0</v>
      </c>
      <c r="O26" s="366">
        <f t="shared" si="7"/>
        <v>4.4425269645608625E-2</v>
      </c>
      <c r="P26" s="124"/>
      <c r="Q26" s="141">
        <f>IF((+Q$7+Q$8)=0," ",Q27/(+Q$7+Q$8))</f>
        <v>4.482934699653403E-3</v>
      </c>
      <c r="R26" s="243"/>
      <c r="S26" s="133">
        <f>IF((+S$7+S$8)=0," ",S27/(+S$7+S$8))</f>
        <v>3.7552472135486672E-3</v>
      </c>
      <c r="T26" s="124"/>
      <c r="U26" s="134"/>
      <c r="V26" s="143"/>
      <c r="W26" s="135">
        <f>IF((+W$7+W$8)=0," ",W27/(+W$7+W$8))</f>
        <v>2.8820555896950351E-3</v>
      </c>
      <c r="AA26" s="44"/>
    </row>
    <row r="27" spans="1:29" s="44" customFormat="1" ht="35.1" customHeight="1">
      <c r="A27" s="45" t="s">
        <v>100</v>
      </c>
      <c r="B27" s="45"/>
      <c r="C27" s="45"/>
      <c r="D27" s="367">
        <f>'[5]Input Wrksht '!F23</f>
        <v>62.88</v>
      </c>
      <c r="E27" s="367">
        <f>'[5]Input Wrksht '!G23</f>
        <v>78</v>
      </c>
      <c r="F27" s="367">
        <f>'[5]Input Wrksht '!H23</f>
        <v>320.76</v>
      </c>
      <c r="G27" s="367">
        <f>'[5]Input Wrksht '!I23</f>
        <v>0</v>
      </c>
      <c r="H27" s="367">
        <f>'[5]Input Wrksht '!J23</f>
        <v>44.62</v>
      </c>
      <c r="I27" s="367">
        <f>'[5]Input Wrksht '!K23</f>
        <v>347.88</v>
      </c>
      <c r="J27" s="367">
        <f>'[5]Input Wrksht '!L23</f>
        <v>16.399999999999999</v>
      </c>
      <c r="K27" s="367">
        <f>'[5]Input Wrksht '!M23</f>
        <v>33.299999999999997</v>
      </c>
      <c r="L27" s="367">
        <f>'[5]Input Wrksht '!N23</f>
        <v>64.37</v>
      </c>
      <c r="M27" s="367">
        <f>'[5]Input Wrksht '!O23</f>
        <v>0</v>
      </c>
      <c r="N27" s="367">
        <f>'[5]Input Wrksht '!P23</f>
        <v>0</v>
      </c>
      <c r="O27" s="367">
        <f>'[5]Input Wrksht '!Q23</f>
        <v>252.28</v>
      </c>
      <c r="P27" s="48"/>
      <c r="Q27" s="139">
        <f t="shared" si="5"/>
        <v>1220.49</v>
      </c>
      <c r="R27" s="243">
        <f>Q27/S27</f>
        <v>1.3441519823788546</v>
      </c>
      <c r="S27" s="53">
        <v>908</v>
      </c>
      <c r="T27" s="51"/>
      <c r="U27" s="85">
        <f>+Q27-S27</f>
        <v>312.49</v>
      </c>
      <c r="V27" s="143"/>
      <c r="W27" s="140">
        <v>832.1</v>
      </c>
      <c r="Y27" s="127"/>
      <c r="AA27" s="365"/>
    </row>
    <row r="28" spans="1:29" s="127" customFormat="1" ht="27" customHeight="1">
      <c r="A28" s="124"/>
      <c r="B28" s="124"/>
      <c r="C28" s="124"/>
      <c r="D28" s="366" t="str">
        <f t="shared" ref="D28:O28" si="8">IF(+D$7=0," ",D29/+D$7)</f>
        <v xml:space="preserve"> </v>
      </c>
      <c r="E28" s="366" t="str">
        <f t="shared" si="8"/>
        <v xml:space="preserve"> </v>
      </c>
      <c r="F28" s="366" t="str">
        <f t="shared" si="8"/>
        <v xml:space="preserve"> </v>
      </c>
      <c r="G28" s="366">
        <f t="shared" si="8"/>
        <v>0.15790231904427265</v>
      </c>
      <c r="H28" s="366">
        <f t="shared" si="8"/>
        <v>0.28852651337400287</v>
      </c>
      <c r="I28" s="366">
        <f t="shared" si="8"/>
        <v>0.32296697738275887</v>
      </c>
      <c r="J28" s="366">
        <f t="shared" si="8"/>
        <v>0.13257026945950964</v>
      </c>
      <c r="K28" s="366">
        <f t="shared" si="8"/>
        <v>0.10197031410617588</v>
      </c>
      <c r="L28" s="366">
        <f t="shared" si="8"/>
        <v>0.16231703761298474</v>
      </c>
      <c r="M28" s="366">
        <f t="shared" si="8"/>
        <v>0.28643903613008032</v>
      </c>
      <c r="N28" s="366">
        <f t="shared" si="8"/>
        <v>0.17314116108260388</v>
      </c>
      <c r="O28" s="366">
        <f t="shared" si="8"/>
        <v>0.84765174739423665</v>
      </c>
      <c r="P28" s="124"/>
      <c r="Q28" s="141">
        <f>IF(+Q$7=0," ",Q29/+Q$7)</f>
        <v>0.16528367221803611</v>
      </c>
      <c r="R28" s="243"/>
      <c r="S28" s="133">
        <f>IF(+S$7=0," ",S29/+S$7)</f>
        <v>0.18347745928624731</v>
      </c>
      <c r="T28" s="124"/>
      <c r="U28" s="134"/>
      <c r="V28" s="143"/>
      <c r="W28" s="135">
        <f>IF(+W$7=0," ",W29/+W$7)</f>
        <v>0.18799593312245821</v>
      </c>
      <c r="AA28" s="44"/>
    </row>
    <row r="29" spans="1:29" s="44" customFormat="1" ht="35.1" customHeight="1">
      <c r="A29" s="45" t="s">
        <v>101</v>
      </c>
      <c r="B29" s="45"/>
      <c r="C29" s="45"/>
      <c r="D29" s="367">
        <f>'[5]Input Wrksht '!F16</f>
        <v>71.91</v>
      </c>
      <c r="E29" s="367">
        <f>'[5]Input Wrksht '!G16</f>
        <v>0</v>
      </c>
      <c r="F29" s="367">
        <f>'[5]Input Wrksht '!H16</f>
        <v>0</v>
      </c>
      <c r="G29" s="367">
        <f>'[5]Input Wrksht '!I16</f>
        <v>449.39</v>
      </c>
      <c r="H29" s="367">
        <f>'[5]Input Wrksht '!J16</f>
        <v>737.82</v>
      </c>
      <c r="I29" s="367">
        <f>'[5]Input Wrksht '!K16</f>
        <v>2234.77</v>
      </c>
      <c r="J29" s="367">
        <f>'[5]Input Wrksht '!L16</f>
        <v>6960.37</v>
      </c>
      <c r="K29" s="367">
        <f>'[5]Input Wrksht '!M16</f>
        <v>3556.23</v>
      </c>
      <c r="L29" s="367">
        <f>'[5]Input Wrksht '!N16</f>
        <v>417.52</v>
      </c>
      <c r="M29" s="367">
        <f>'[5]Input Wrksht '!O16</f>
        <v>2380.38</v>
      </c>
      <c r="N29" s="367">
        <f>'[5]Input Wrksht '!P16</f>
        <v>1720.85</v>
      </c>
      <c r="O29" s="367">
        <f>'[5]Input Wrksht '!Q16</f>
        <v>1728.15</v>
      </c>
      <c r="P29" s="48"/>
      <c r="Q29" s="139">
        <f t="shared" si="5"/>
        <v>20257.39</v>
      </c>
      <c r="R29" s="243">
        <f>Q29/S29</f>
        <v>0.96929948801378052</v>
      </c>
      <c r="S29" s="53">
        <v>20899</v>
      </c>
      <c r="T29" s="51"/>
      <c r="U29" s="85">
        <f>+Q29-S29</f>
        <v>-641.61000000000058</v>
      </c>
      <c r="V29" s="143"/>
      <c r="W29" s="140">
        <v>25794.170000000002</v>
      </c>
      <c r="AA29" s="365"/>
    </row>
    <row r="30" spans="1:29" s="127" customFormat="1" ht="27" customHeight="1">
      <c r="A30" s="124"/>
      <c r="B30" s="124"/>
      <c r="C30" s="124"/>
      <c r="D30" s="366" t="str">
        <f t="shared" ref="D30:O30" si="9">IF((+D$7+D$8)=0," ",D31/(+D$7+D$8))</f>
        <v xml:space="preserve"> </v>
      </c>
      <c r="E30" s="366" t="str">
        <f t="shared" si="9"/>
        <v xml:space="preserve"> </v>
      </c>
      <c r="F30" s="366" t="str">
        <f t="shared" si="9"/>
        <v xml:space="preserve"> </v>
      </c>
      <c r="G30" s="366">
        <f t="shared" si="9"/>
        <v>9.5606248890466889E-3</v>
      </c>
      <c r="H30" s="366">
        <f t="shared" si="9"/>
        <v>1.7264517135779353E-2</v>
      </c>
      <c r="I30" s="366">
        <f t="shared" si="9"/>
        <v>1.1935219876925749E-2</v>
      </c>
      <c r="J30" s="366">
        <f t="shared" si="9"/>
        <v>7.5422513039347496E-3</v>
      </c>
      <c r="K30" s="366">
        <f t="shared" si="9"/>
        <v>1.828664335655467E-3</v>
      </c>
      <c r="L30" s="366">
        <f t="shared" si="9"/>
        <v>1.0328849923876378E-5</v>
      </c>
      <c r="M30" s="366">
        <f t="shared" si="9"/>
        <v>6.3813991691544648E-4</v>
      </c>
      <c r="N30" s="366">
        <f t="shared" si="9"/>
        <v>0</v>
      </c>
      <c r="O30" s="366">
        <f t="shared" si="9"/>
        <v>9.782082324455205E-3</v>
      </c>
      <c r="P30" s="124"/>
      <c r="Q30" s="141">
        <f>IF((+Q$7+Q$8)=0," ",Q31/(+Q$7+Q$8))</f>
        <v>5.7311144222535219E-3</v>
      </c>
      <c r="R30" s="243"/>
      <c r="S30" s="133">
        <f>IF((+S$7+S$8)=0," ",S31/(+S$7+S$8))</f>
        <v>2.9570503939287413E-3</v>
      </c>
      <c r="T30" s="124"/>
      <c r="U30" s="134"/>
      <c r="V30" s="143"/>
      <c r="W30" s="135">
        <f>IF((+W$7+W$8)=0," ",W31/(+W$7+W$8))</f>
        <v>6.9502531782447306E-3</v>
      </c>
      <c r="AA30" s="44"/>
    </row>
    <row r="31" spans="1:29" s="44" customFormat="1" ht="35.1" customHeight="1">
      <c r="A31" s="45" t="s">
        <v>102</v>
      </c>
      <c r="B31" s="45"/>
      <c r="C31" s="45"/>
      <c r="D31" s="367">
        <f>'[5]Input Wrksht '!F17</f>
        <v>0</v>
      </c>
      <c r="E31" s="367">
        <f>'[5]Input Wrksht '!G17</f>
        <v>198.09</v>
      </c>
      <c r="F31" s="367">
        <f>'[5]Input Wrksht '!H17</f>
        <v>0</v>
      </c>
      <c r="G31" s="367">
        <f>'[5]Input Wrksht '!I17</f>
        <v>107.71</v>
      </c>
      <c r="H31" s="367">
        <f>'[5]Input Wrksht '!J17</f>
        <v>88.51</v>
      </c>
      <c r="I31" s="367">
        <f>'[5]Input Wrksht '!K17</f>
        <v>203.3</v>
      </c>
      <c r="J31" s="367">
        <f>'[5]Input Wrksht '!L17</f>
        <v>746.7</v>
      </c>
      <c r="K31" s="367">
        <f>'[5]Input Wrksht '!M17</f>
        <v>144.19</v>
      </c>
      <c r="L31" s="367">
        <f>'[5]Input Wrksht '!N17</f>
        <v>0.1</v>
      </c>
      <c r="M31" s="367">
        <f>'[5]Input Wrksht '!O17</f>
        <v>16.16</v>
      </c>
      <c r="N31" s="367">
        <f>'[5]Input Wrksht '!P17</f>
        <v>0</v>
      </c>
      <c r="O31" s="367">
        <f>'[5]Input Wrksht '!Q17</f>
        <v>55.55</v>
      </c>
      <c r="P31" s="48"/>
      <c r="Q31" s="139">
        <f t="shared" si="5"/>
        <v>1560.31</v>
      </c>
      <c r="R31" s="243">
        <f>Q31/S31</f>
        <v>2.1822517482517481</v>
      </c>
      <c r="S31" s="53">
        <v>715</v>
      </c>
      <c r="T31" s="51"/>
      <c r="U31" s="85">
        <f>+Q31-S31</f>
        <v>845.31</v>
      </c>
      <c r="V31" s="143"/>
      <c r="W31" s="140">
        <v>2006.6600000000003</v>
      </c>
      <c r="AA31" s="365"/>
    </row>
    <row r="32" spans="1:29" s="127" customFormat="1" ht="27" customHeight="1">
      <c r="A32" s="124"/>
      <c r="B32" s="148"/>
      <c r="C32" s="148"/>
      <c r="D32" s="366" t="str">
        <f>IF((+D$7+D$8)=0," ",D33/(+D$7+D$8))</f>
        <v xml:space="preserve"> </v>
      </c>
      <c r="E32" s="366" t="str">
        <f>IF((+E$7+E$8)=0," ",E33/(+E$7+E$8))</f>
        <v xml:space="preserve"> </v>
      </c>
      <c r="F32" s="366" t="str">
        <f>IF((+F$7+F$8)=0," ",F33/(+F$7+F$8))</f>
        <v xml:space="preserve"> </v>
      </c>
      <c r="G32" s="366">
        <f>IF((+G$7+G$8)=0," ",G33/(+G$7+G$8))</f>
        <v>0.21606515178412924</v>
      </c>
      <c r="H32" s="366">
        <f>IF((+H$7+H$8)=0," ",H33/(+H$7+H$8))</f>
        <v>0.17583240681139917</v>
      </c>
      <c r="I32" s="366">
        <f>IF((O35+I$7+I$8)=0," ",I33/(+I$7+I$8))</f>
        <v>7.3003859426240561E-2</v>
      </c>
      <c r="J32" s="366">
        <f>IF((P35+J$7+J$8)=0," ",J33/(+J$7+J$8))</f>
        <v>2.9100039827369615E-2</v>
      </c>
      <c r="K32" s="366">
        <f t="shared" ref="K32:O32" si="10">IF((+K$7+K$8)=0," ",K33/(+K$7+K$8))</f>
        <v>5.7843193206332549E-2</v>
      </c>
      <c r="L32" s="366">
        <f t="shared" si="10"/>
        <v>0.1841303418229594</v>
      </c>
      <c r="M32" s="366">
        <f t="shared" si="10"/>
        <v>8.0579775387385685E-2</v>
      </c>
      <c r="N32" s="366">
        <f t="shared" si="10"/>
        <v>6.5661409561360282E-2</v>
      </c>
      <c r="O32" s="366">
        <f t="shared" si="10"/>
        <v>0.32344970283953334</v>
      </c>
      <c r="P32" s="124"/>
      <c r="Q32" s="141">
        <f>IF((+Q$7+Q$8)=0," ",Q33/(+Q$7+Q$8))</f>
        <v>8.6224675435439602E-2</v>
      </c>
      <c r="R32" s="243"/>
      <c r="S32" s="133">
        <f>IF((+S$7+S$8)=0," ",S33/(+S$7+S$8))</f>
        <v>8.2789139560371386E-2</v>
      </c>
      <c r="T32" s="124"/>
      <c r="U32" s="134"/>
      <c r="V32" s="143"/>
      <c r="W32" s="135">
        <f>IF((+W$7+W$8)=0," ",W33/(+W$7+W$8))</f>
        <v>7.6056653849295053E-2</v>
      </c>
      <c r="AA32" s="44"/>
    </row>
    <row r="33" spans="1:29" s="44" customFormat="1" ht="35.1" customHeight="1">
      <c r="A33" s="45" t="s">
        <v>103</v>
      </c>
      <c r="B33" s="149"/>
      <c r="C33" s="149"/>
      <c r="D33" s="367">
        <f>'[5]Input Wrksht '!F19</f>
        <v>1216.6099999999999</v>
      </c>
      <c r="E33" s="367">
        <f>'[5]Input Wrksht '!G19</f>
        <v>565.46</v>
      </c>
      <c r="F33" s="367">
        <f>'[5]Input Wrksht '!H19</f>
        <v>2679.45</v>
      </c>
      <c r="G33" s="367">
        <f>'[5]Input Wrksht '!I19</f>
        <v>2434.19</v>
      </c>
      <c r="H33" s="367">
        <f>'[5]Input Wrksht '!J19</f>
        <v>901.44</v>
      </c>
      <c r="I33" s="367">
        <f>'[5]Input Wrksht '!K19</f>
        <v>1243.52</v>
      </c>
      <c r="J33" s="367">
        <f>'[5]Input Wrksht '!L19</f>
        <v>2880.97</v>
      </c>
      <c r="K33" s="367">
        <f>'[5]Input Wrksht '!M19</f>
        <v>4560.93</v>
      </c>
      <c r="L33" s="367">
        <f>'[5]Input Wrksht '!N19</f>
        <v>1782.68</v>
      </c>
      <c r="M33" s="367">
        <f>'[5]Input Wrksht '!O19</f>
        <v>2040.57</v>
      </c>
      <c r="N33" s="367">
        <f>'[5]Input Wrksht '!P19</f>
        <v>1332.27</v>
      </c>
      <c r="O33" s="367">
        <f>'[5]Input Wrksht '!Q19</f>
        <v>1836.79</v>
      </c>
      <c r="P33" s="48"/>
      <c r="Q33" s="139">
        <f t="shared" si="5"/>
        <v>23474.880000000001</v>
      </c>
      <c r="R33" s="243">
        <f>Q33/S33</f>
        <v>1.17268858027775</v>
      </c>
      <c r="S33" s="53">
        <v>20018</v>
      </c>
      <c r="T33" s="51"/>
      <c r="U33" s="85">
        <f>+Q33-S33</f>
        <v>3456.880000000001</v>
      </c>
      <c r="V33" s="143"/>
      <c r="W33" s="140">
        <v>21958.89</v>
      </c>
      <c r="AA33" s="365"/>
    </row>
    <row r="34" spans="1:29" s="127" customFormat="1" ht="27" customHeight="1" thickBot="1">
      <c r="A34" s="124"/>
      <c r="B34" s="124"/>
      <c r="C34" s="124"/>
      <c r="D34" s="366" t="str">
        <f t="shared" ref="D34:O34" si="11">IF((+D$7+D$8)=0," ",D35/(+D$7+D$8))</f>
        <v xml:space="preserve"> </v>
      </c>
      <c r="E34" s="366" t="str">
        <f t="shared" si="11"/>
        <v xml:space="preserve"> </v>
      </c>
      <c r="F34" s="366" t="str">
        <f t="shared" si="11"/>
        <v xml:space="preserve"> </v>
      </c>
      <c r="G34" s="366">
        <f t="shared" si="11"/>
        <v>0.14251109533108466</v>
      </c>
      <c r="H34" s="366">
        <f t="shared" si="11"/>
        <v>0.31317026547291632</v>
      </c>
      <c r="I34" s="366">
        <f t="shared" si="11"/>
        <v>9.4256535017218868E-2</v>
      </c>
      <c r="J34" s="366">
        <f t="shared" si="11"/>
        <v>1.6217102900771874E-2</v>
      </c>
      <c r="K34" s="366">
        <f t="shared" si="11"/>
        <v>3.4415642886040446E-2</v>
      </c>
      <c r="L34" s="366">
        <f t="shared" si="11"/>
        <v>0.28029090172925608</v>
      </c>
      <c r="M34" s="366">
        <f t="shared" si="11"/>
        <v>0.10715972452573884</v>
      </c>
      <c r="N34" s="366">
        <f t="shared" si="11"/>
        <v>0.13374420896993594</v>
      </c>
      <c r="O34" s="366">
        <f t="shared" si="11"/>
        <v>-0.46936209553158703</v>
      </c>
      <c r="P34" s="124"/>
      <c r="Q34" s="141">
        <f>IF((+Q$7+Q$8)=0," ",Q35/(+Q$7+Q$8))</f>
        <v>7.1360236744968261E-2</v>
      </c>
      <c r="R34" s="243"/>
      <c r="S34" s="133">
        <f>IF((+S$7+S$8)=0," ",S35/(+S$7+S$8))</f>
        <v>7.4666556380404883E-2</v>
      </c>
      <c r="T34" s="124"/>
      <c r="U34" s="134"/>
      <c r="V34" s="143"/>
      <c r="W34" s="135">
        <f>IF((+W$7+W$8)=0," ",W35/(+W$7+W$8))</f>
        <v>6.3482668908858106E-2</v>
      </c>
      <c r="AA34" s="155"/>
    </row>
    <row r="35" spans="1:29" s="330" customFormat="1" ht="34.5" customHeight="1">
      <c r="A35" s="268" t="s">
        <v>104</v>
      </c>
      <c r="B35" s="268"/>
      <c r="C35" s="268"/>
      <c r="D35" s="368">
        <f>'[5]Input Wrksht '!F18</f>
        <v>1605.53</v>
      </c>
      <c r="E35" s="368">
        <f>'[5]Input Wrksht '!G18</f>
        <v>1605.53</v>
      </c>
      <c r="F35" s="368">
        <f>'[5]Input Wrksht '!H18</f>
        <v>1605.53</v>
      </c>
      <c r="G35" s="369">
        <f>'[5]Input Wrksht '!I18</f>
        <v>1605.53</v>
      </c>
      <c r="H35" s="369">
        <f>'[5]Input Wrksht '!J18</f>
        <v>1605.53</v>
      </c>
      <c r="I35" s="369">
        <f>'[5]Input Wrksht '!K18</f>
        <v>1605.53</v>
      </c>
      <c r="J35" s="369">
        <f>'[5]Input Wrksht '!L18</f>
        <v>1605.53</v>
      </c>
      <c r="K35" s="369">
        <f>'[5]Input Wrksht '!M18</f>
        <v>2713.67</v>
      </c>
      <c r="L35" s="369">
        <f>'[5]Input Wrksht '!N18</f>
        <v>2713.67</v>
      </c>
      <c r="M35" s="369">
        <f>'[5]Input Wrksht '!O18</f>
        <v>2713.67</v>
      </c>
      <c r="N35" s="369">
        <f>'[5]Input Wrksht '!P18</f>
        <v>2713.67</v>
      </c>
      <c r="O35" s="369">
        <f>'[5]Input Wrksht '!Q18</f>
        <v>-2665.39</v>
      </c>
      <c r="P35" s="11"/>
      <c r="Q35" s="269">
        <f t="shared" si="5"/>
        <v>19428</v>
      </c>
      <c r="R35" s="243">
        <f>Q35/S35</f>
        <v>1.0761050182784979</v>
      </c>
      <c r="S35" s="53">
        <v>18054</v>
      </c>
      <c r="T35" s="132"/>
      <c r="U35" s="271">
        <f>+Q35-S35</f>
        <v>1374</v>
      </c>
      <c r="V35" s="132"/>
      <c r="W35" s="370">
        <v>18328.559999999998</v>
      </c>
      <c r="Y35" s="371" t="s">
        <v>127</v>
      </c>
      <c r="Z35" s="172"/>
      <c r="AA35" s="365"/>
      <c r="AB35" s="155"/>
      <c r="AC35" s="155"/>
    </row>
    <row r="36" spans="1:29" s="127" customFormat="1" ht="27" customHeight="1" thickBot="1">
      <c r="A36" s="124"/>
      <c r="B36" s="124"/>
      <c r="C36" s="124"/>
      <c r="D36" s="366" t="str">
        <f t="shared" ref="D36:O36" si="12">IF((+D$7+D$8)=0," ",D37/(+D$7+D$8))</f>
        <v xml:space="preserve"> </v>
      </c>
      <c r="E36" s="366" t="str">
        <f t="shared" si="12"/>
        <v xml:space="preserve"> </v>
      </c>
      <c r="F36" s="366" t="str">
        <f t="shared" si="12"/>
        <v xml:space="preserve"> </v>
      </c>
      <c r="G36" s="366">
        <f t="shared" si="12"/>
        <v>1.649210012426771E-2</v>
      </c>
      <c r="H36" s="366">
        <f t="shared" si="12"/>
        <v>5.6820176721867864E-3</v>
      </c>
      <c r="I36" s="366">
        <f t="shared" si="12"/>
        <v>5.4539199535976494E-3</v>
      </c>
      <c r="J36" s="366">
        <f t="shared" si="12"/>
        <v>5.188870921848561E-3</v>
      </c>
      <c r="K36" s="366">
        <f t="shared" si="12"/>
        <v>4.3023516833883115E-3</v>
      </c>
      <c r="L36" s="366">
        <f t="shared" si="12"/>
        <v>4.8142769495187797E-3</v>
      </c>
      <c r="M36" s="366">
        <f t="shared" si="12"/>
        <v>8.3471544330190016E-3</v>
      </c>
      <c r="N36" s="366">
        <f t="shared" si="12"/>
        <v>0</v>
      </c>
      <c r="O36" s="366">
        <f t="shared" si="12"/>
        <v>-0.249838432753687</v>
      </c>
      <c r="P36" s="124"/>
      <c r="Q36" s="141">
        <f>IF((+Q$7+Q$8)=0," ",Q37/(+Q$7+Q$8))</f>
        <v>0</v>
      </c>
      <c r="R36" s="243"/>
      <c r="S36" s="133">
        <f>IF((+S$7+S$8)=0," ",S37/(+S$7+S$8))</f>
        <v>7.2209929899294855E-3</v>
      </c>
      <c r="T36" s="124"/>
      <c r="U36" s="134"/>
      <c r="V36" s="143"/>
      <c r="W36" s="135">
        <f>IF((+W$7+W$8)=0," ",W37/(+W$7+W$8))</f>
        <v>9.3372228095321124E-3</v>
      </c>
      <c r="Y36" s="372">
        <f>Q35+Q37</f>
        <v>19428</v>
      </c>
      <c r="AA36" s="44"/>
    </row>
    <row r="37" spans="1:29" s="44" customFormat="1" ht="35.1" customHeight="1">
      <c r="A37" s="45" t="s">
        <v>128</v>
      </c>
      <c r="B37" s="45"/>
      <c r="C37" s="45"/>
      <c r="D37" s="367">
        <f>'[5]Input Wrksht '!F29</f>
        <v>0</v>
      </c>
      <c r="E37" s="367">
        <f>'[5]Input Wrksht '!G29</f>
        <v>0</v>
      </c>
      <c r="F37" s="367">
        <f>'[5]Input Wrksht '!H29</f>
        <v>0</v>
      </c>
      <c r="G37" s="367">
        <f>'[5]Input Wrksht '!I29</f>
        <v>185.8</v>
      </c>
      <c r="H37" s="367">
        <f>'[5]Input Wrksht '!J29</f>
        <v>29.13</v>
      </c>
      <c r="I37" s="367">
        <f>'[5]Input Wrksht '!K29</f>
        <v>92.9</v>
      </c>
      <c r="J37" s="367">
        <f>'[5]Input Wrksht '!L29</f>
        <v>513.71</v>
      </c>
      <c r="K37" s="367">
        <f>'[5]Input Wrksht '!M29</f>
        <v>339.24</v>
      </c>
      <c r="L37" s="367">
        <f>'[5]Input Wrksht '!N29</f>
        <v>46.61</v>
      </c>
      <c r="M37" s="367">
        <f>'[5]Input Wrksht '!O29</f>
        <v>211.38</v>
      </c>
      <c r="N37" s="367">
        <f>'[5]Input Wrksht '!P29</f>
        <v>0</v>
      </c>
      <c r="O37" s="367">
        <f>'[5]Input Wrksht '!Q29</f>
        <v>-1418.77</v>
      </c>
      <c r="P37" s="48"/>
      <c r="Q37" s="139">
        <f t="shared" si="5"/>
        <v>0</v>
      </c>
      <c r="R37" s="243">
        <f>Q37/S37</f>
        <v>0</v>
      </c>
      <c r="S37" s="53">
        <v>1746</v>
      </c>
      <c r="T37" s="51"/>
      <c r="U37" s="85">
        <f>+Q37-S37</f>
        <v>-1746</v>
      </c>
      <c r="V37" s="143"/>
      <c r="W37" s="140">
        <v>2695.8200000000006</v>
      </c>
      <c r="AA37" s="365"/>
    </row>
    <row r="38" spans="1:29" s="127" customFormat="1" ht="27" customHeight="1">
      <c r="A38" s="124"/>
      <c r="B38" s="124"/>
      <c r="C38" s="124"/>
      <c r="D38" s="366" t="str">
        <f t="shared" ref="D38:O38" si="13">IF((+D$7+D$8)=0," ",D39/(+D$7+D$8))</f>
        <v xml:space="preserve"> </v>
      </c>
      <c r="E38" s="366" t="str">
        <f t="shared" si="13"/>
        <v xml:space="preserve"> </v>
      </c>
      <c r="F38" s="366" t="str">
        <f t="shared" si="13"/>
        <v xml:space="preserve"> </v>
      </c>
      <c r="G38" s="366">
        <f t="shared" si="13"/>
        <v>2.2741878217646012E-2</v>
      </c>
      <c r="H38" s="366">
        <f t="shared" si="13"/>
        <v>4.5058224588916847E-2</v>
      </c>
      <c r="I38" s="366">
        <f t="shared" si="13"/>
        <v>1.3200951999633665E-2</v>
      </c>
      <c r="J38" s="366">
        <f t="shared" si="13"/>
        <v>2.6168086852958019E-3</v>
      </c>
      <c r="K38" s="366">
        <f t="shared" si="13"/>
        <v>2.8915699322383417E-3</v>
      </c>
      <c r="L38" s="366">
        <f t="shared" si="13"/>
        <v>3.7459640018922456E-2</v>
      </c>
      <c r="M38" s="366">
        <f t="shared" si="13"/>
        <v>0</v>
      </c>
      <c r="N38" s="366">
        <f t="shared" si="13"/>
        <v>5.0271069492360768E-3</v>
      </c>
      <c r="O38" s="366">
        <f t="shared" si="13"/>
        <v>4.578472375082545E-3</v>
      </c>
      <c r="P38" s="124"/>
      <c r="Q38" s="141">
        <f>IF((+Q$7+Q$8)=0," ",Q39/(+Q$7+Q$8))</f>
        <v>7.0515799930696696E-3</v>
      </c>
      <c r="R38" s="243"/>
      <c r="S38" s="133">
        <f>IF((+S$7+S$8)=0," ",S39/(+S$7+S$8))</f>
        <v>1.1757894083831344E-2</v>
      </c>
      <c r="T38" s="124"/>
      <c r="U38" s="134"/>
      <c r="V38" s="143"/>
      <c r="W38" s="135">
        <f>IF((+W$7+W$8)=0," ",W39/(+W$7+W$8))</f>
        <v>1.709674445134161E-2</v>
      </c>
      <c r="AA38" s="44"/>
    </row>
    <row r="39" spans="1:29" s="44" customFormat="1" ht="34.5" customHeight="1">
      <c r="A39" s="45" t="s">
        <v>105</v>
      </c>
      <c r="B39" s="45"/>
      <c r="C39" s="45"/>
      <c r="D39" s="367">
        <f>'[5]Input Wrksht '!F21</f>
        <v>192</v>
      </c>
      <c r="E39" s="367">
        <f>'[5]Input Wrksht '!G21</f>
        <v>38</v>
      </c>
      <c r="F39" s="367">
        <f>'[5]Input Wrksht '!H21</f>
        <v>0</v>
      </c>
      <c r="G39" s="367">
        <f>'[5]Input Wrksht '!I21</f>
        <v>256.20999999999998</v>
      </c>
      <c r="H39" s="367">
        <f>'[5]Input Wrksht '!J21</f>
        <v>231</v>
      </c>
      <c r="I39" s="367">
        <f>'[5]Input Wrksht '!K21</f>
        <v>224.86</v>
      </c>
      <c r="J39" s="367">
        <f>'[5]Input Wrksht '!L21</f>
        <v>259.07</v>
      </c>
      <c r="K39" s="367">
        <f>'[5]Input Wrksht '!M21</f>
        <v>228</v>
      </c>
      <c r="L39" s="367">
        <f>'[5]Input Wrksht '!N21</f>
        <v>362.67</v>
      </c>
      <c r="M39" s="367">
        <f>'[5]Input Wrksht '!O21</f>
        <v>0</v>
      </c>
      <c r="N39" s="367">
        <f>'[5]Input Wrksht '!P21</f>
        <v>102</v>
      </c>
      <c r="O39" s="367">
        <f>'[5]Input Wrksht '!Q21</f>
        <v>26</v>
      </c>
      <c r="P39" s="48"/>
      <c r="Q39" s="139">
        <f t="shared" si="5"/>
        <v>1919.8100000000002</v>
      </c>
      <c r="R39" s="243">
        <f>Q39/S39</f>
        <v>0.67527611677805144</v>
      </c>
      <c r="S39" s="53">
        <v>2843</v>
      </c>
      <c r="T39" s="51"/>
      <c r="U39" s="85">
        <f>+Q39-S39</f>
        <v>-923.18999999999983</v>
      </c>
      <c r="V39" s="143"/>
      <c r="W39" s="140">
        <v>4936.13</v>
      </c>
      <c r="AA39" s="365"/>
    </row>
    <row r="40" spans="1:29" s="127" customFormat="1" ht="27" customHeight="1">
      <c r="A40" s="124"/>
      <c r="B40" s="124"/>
      <c r="C40" s="124"/>
      <c r="D40" s="366" t="str">
        <f t="shared" ref="D40:J40" si="14">IF((+D$7+D$8)=0," ",D41/(+D$7+D$8))</f>
        <v xml:space="preserve"> </v>
      </c>
      <c r="E40" s="366" t="str">
        <f t="shared" si="14"/>
        <v xml:space="preserve"> </v>
      </c>
      <c r="F40" s="366" t="str">
        <f t="shared" si="14"/>
        <v xml:space="preserve"> </v>
      </c>
      <c r="G40" s="366">
        <f t="shared" si="14"/>
        <v>0.18688709391088229</v>
      </c>
      <c r="H40" s="366">
        <f t="shared" si="14"/>
        <v>0.41171708896561143</v>
      </c>
      <c r="I40" s="366">
        <f t="shared" si="14"/>
        <v>0.1593237374087246</v>
      </c>
      <c r="J40" s="366">
        <f t="shared" si="14"/>
        <v>2.8808329344367563E-2</v>
      </c>
      <c r="K40" s="366">
        <f>IF((+K$7+K$8)=0," ",K41/(+K$7+K$8))</f>
        <v>6.9714736480325284E-3</v>
      </c>
      <c r="L40" s="366">
        <f>IF((+L$7+L$8)=0," ",L41/(+L$7+L$8))</f>
        <v>0.16029961927859182</v>
      </c>
      <c r="M40" s="366">
        <f>IF((+M$7+M$8)=0," ",M41/(+M$7+M$8))</f>
        <v>4.2959926708682816E-2</v>
      </c>
      <c r="N40" s="366">
        <f>IF((+N$7+N$8)=0," ",N41/(+N$7+N$8))</f>
        <v>3.8670280926564812E-2</v>
      </c>
      <c r="O40" s="366">
        <f>IF((+O$7+O$8)=0," ",O41/(+O$7+O$8))</f>
        <v>0.13158881796169933</v>
      </c>
      <c r="P40" s="147"/>
      <c r="Q40" s="141">
        <f>IF((+Q$7+Q$8)=0," ",Q41/(+Q$7+Q$8))</f>
        <v>6.2677744032138411E-2</v>
      </c>
      <c r="R40" s="243"/>
      <c r="S40" s="133">
        <f>IF((+S$7+S$8)=0," ",S41/(+S$7+S$8))</f>
        <v>5.9889575880394549E-2</v>
      </c>
      <c r="T40" s="124"/>
      <c r="U40" s="134"/>
      <c r="V40" s="143"/>
      <c r="W40" s="135">
        <f>IF((+W$7+W$8)=0," ",W41/(+W$7+W$8))</f>
        <v>8.8946241367947362E-2</v>
      </c>
      <c r="AA40" s="44"/>
    </row>
    <row r="41" spans="1:29" s="153" customFormat="1" ht="33.75" customHeight="1">
      <c r="A41" s="45" t="s">
        <v>106</v>
      </c>
      <c r="B41" s="45"/>
      <c r="C41" s="45"/>
      <c r="D41" s="367">
        <f>'[5]Input Wrksht '!F22</f>
        <v>636.37</v>
      </c>
      <c r="E41" s="367">
        <f>'[5]Input Wrksht '!G22</f>
        <v>913.17</v>
      </c>
      <c r="F41" s="367">
        <f>'[5]Input Wrksht '!H22</f>
        <v>1011.02</v>
      </c>
      <c r="G41" s="367">
        <f>'[5]Input Wrksht '!I22</f>
        <v>2105.4699999999998</v>
      </c>
      <c r="H41" s="367">
        <f>'[5]Input Wrksht '!J22</f>
        <v>2110.75</v>
      </c>
      <c r="I41" s="367">
        <f>'[5]Input Wrksht '!K22</f>
        <v>2713.86</v>
      </c>
      <c r="J41" s="367">
        <f>'[5]Input Wrksht '!L22</f>
        <v>2852.09</v>
      </c>
      <c r="K41" s="367">
        <f>'[5]Input Wrksht '!M22</f>
        <v>549.70000000000005</v>
      </c>
      <c r="L41" s="367">
        <f>'[5]Input Wrksht '!N22</f>
        <v>1551.96</v>
      </c>
      <c r="M41" s="367">
        <f>'[5]Input Wrksht '!O22</f>
        <v>1087.9000000000001</v>
      </c>
      <c r="N41" s="367">
        <f>'[5]Input Wrksht '!P22</f>
        <v>784.62</v>
      </c>
      <c r="O41" s="367">
        <f>'[5]Input Wrksht '!Q22</f>
        <v>747.26</v>
      </c>
      <c r="P41" s="138"/>
      <c r="Q41" s="139">
        <f t="shared" si="5"/>
        <v>17064.169999999998</v>
      </c>
      <c r="R41" s="243">
        <f>Q41/S41</f>
        <v>1.1783833989365373</v>
      </c>
      <c r="S41" s="53">
        <v>14481</v>
      </c>
      <c r="T41" s="138"/>
      <c r="U41" s="85">
        <f>+Q41-S41</f>
        <v>2583.1699999999983</v>
      </c>
      <c r="V41" s="143"/>
      <c r="W41" s="140">
        <v>25680.34</v>
      </c>
      <c r="AA41" s="365"/>
    </row>
    <row r="42" spans="1:29" s="127" customFormat="1" ht="27" customHeight="1">
      <c r="A42" s="124"/>
      <c r="B42" s="124"/>
      <c r="C42" s="124"/>
      <c r="D42" s="366" t="str">
        <f t="shared" ref="D42:P42" si="15">IF((+D$7+D$8)=0," ",D43/(+D$7+D$8))</f>
        <v xml:space="preserve"> </v>
      </c>
      <c r="E42" s="366" t="str">
        <f t="shared" si="15"/>
        <v xml:space="preserve"> </v>
      </c>
      <c r="F42" s="366" t="str">
        <f t="shared" si="15"/>
        <v xml:space="preserve"> </v>
      </c>
      <c r="G42" s="366">
        <f t="shared" si="15"/>
        <v>3.4617432984200246E-2</v>
      </c>
      <c r="H42" s="366">
        <f t="shared" si="15"/>
        <v>7.6072327228041428E-2</v>
      </c>
      <c r="I42" s="366">
        <f t="shared" si="15"/>
        <v>2.2895896468278613E-2</v>
      </c>
      <c r="J42" s="366">
        <f t="shared" si="15"/>
        <v>3.9393036139474379E-3</v>
      </c>
      <c r="K42" s="366">
        <f t="shared" si="15"/>
        <v>4.9461064630392688E-3</v>
      </c>
      <c r="L42" s="366">
        <f t="shared" si="15"/>
        <v>4.0282514703117868E-2</v>
      </c>
      <c r="M42" s="366">
        <f t="shared" si="15"/>
        <v>1.5400653935459415E-2</v>
      </c>
      <c r="N42" s="366">
        <f t="shared" si="15"/>
        <v>1.9221291276490884E-2</v>
      </c>
      <c r="O42" s="366">
        <f t="shared" si="15"/>
        <v>0.83528241250275148</v>
      </c>
      <c r="P42" s="147" t="str">
        <f t="shared" si="15"/>
        <v xml:space="preserve"> </v>
      </c>
      <c r="Q42" s="141">
        <f>IF((+Q$7+Q$8)=0," ",Q43/(+Q$7+Q$8))</f>
        <v>3.3183758927283896E-2</v>
      </c>
      <c r="R42" s="243"/>
      <c r="S42" s="133">
        <f>IF((+S$7+S$8)=0," ",S43/(+S$7+S$8))</f>
        <v>2.2907835149610208E-2</v>
      </c>
      <c r="T42" s="124"/>
      <c r="U42" s="134"/>
      <c r="V42" s="143"/>
      <c r="W42" s="135">
        <f>IF((+W$7+W$8)=0," ",W43/(+W$7+W$8))</f>
        <v>6.046958560259276E-2</v>
      </c>
      <c r="AA42" s="155"/>
    </row>
    <row r="43" spans="1:29" s="330" customFormat="1" ht="34.5" customHeight="1">
      <c r="A43" s="373" t="s">
        <v>107</v>
      </c>
      <c r="B43" s="373"/>
      <c r="C43" s="373"/>
      <c r="D43" s="374">
        <f>'[5]Input Wrksht '!F31</f>
        <v>390</v>
      </c>
      <c r="E43" s="374">
        <f>'[5]Input Wrksht '!G31</f>
        <v>391</v>
      </c>
      <c r="F43" s="374">
        <f>'[5]Input Wrksht '!H31</f>
        <v>390</v>
      </c>
      <c r="G43" s="374">
        <f>'[5]Input Wrksht '!I31</f>
        <v>390</v>
      </c>
      <c r="H43" s="374">
        <f>'[5]Input Wrksht '!J31</f>
        <v>390</v>
      </c>
      <c r="I43" s="374">
        <f>'[5]Input Wrksht '!K31</f>
        <v>390</v>
      </c>
      <c r="J43" s="374">
        <f>'[5]Input Wrksht '!L31</f>
        <v>390</v>
      </c>
      <c r="K43" s="374">
        <f>'[5]Input Wrksht '!M31</f>
        <v>390</v>
      </c>
      <c r="L43" s="374">
        <f>'[5]Input Wrksht '!N31</f>
        <v>390</v>
      </c>
      <c r="M43" s="374">
        <f>'[5]Input Wrksht '!O31</f>
        <v>390</v>
      </c>
      <c r="N43" s="374">
        <f>'[5]Input Wrksht '!P31</f>
        <v>390</v>
      </c>
      <c r="O43" s="374">
        <f>'[5]Input Wrksht '!Q31</f>
        <v>4743.3599999999997</v>
      </c>
      <c r="P43" s="375"/>
      <c r="Q43" s="376">
        <f t="shared" si="5"/>
        <v>9034.36</v>
      </c>
      <c r="R43" s="243">
        <f>Q43/S43</f>
        <v>1.6310453150388158</v>
      </c>
      <c r="S43" s="53">
        <f>6457-918</f>
        <v>5539</v>
      </c>
      <c r="T43" s="132"/>
      <c r="U43" s="271">
        <f>+Q43-S43</f>
        <v>3495.3600000000006</v>
      </c>
      <c r="V43" s="132"/>
      <c r="W43" s="370">
        <v>17458.63</v>
      </c>
      <c r="Y43" s="172"/>
      <c r="Z43" s="172"/>
      <c r="AA43" s="365"/>
      <c r="AB43" s="155"/>
      <c r="AC43" s="155"/>
    </row>
    <row r="44" spans="1:29" s="127" customFormat="1" ht="27" customHeight="1">
      <c r="B44" s="124"/>
      <c r="C44" s="124"/>
      <c r="D44" s="366" t="str">
        <f t="shared" ref="D44:O44" si="16">IF((+D$7+D$8)=0," ",D45/(+D$7+D$8))</f>
        <v xml:space="preserve"> </v>
      </c>
      <c r="E44" s="366" t="str">
        <f t="shared" si="16"/>
        <v xml:space="preserve"> </v>
      </c>
      <c r="F44" s="366" t="str">
        <f t="shared" si="16"/>
        <v xml:space="preserve"> </v>
      </c>
      <c r="G44" s="366">
        <f t="shared" si="16"/>
        <v>3.4244629859755016E-2</v>
      </c>
      <c r="H44" s="366">
        <f t="shared" si="16"/>
        <v>9.1573526830124652E-2</v>
      </c>
      <c r="I44" s="366">
        <f t="shared" si="16"/>
        <v>4.1267211549864319E-2</v>
      </c>
      <c r="J44" s="366">
        <f t="shared" si="16"/>
        <v>4.4485848657813609E-3</v>
      </c>
      <c r="K44" s="366">
        <f t="shared" si="16"/>
        <v>6.9450944135629857E-3</v>
      </c>
      <c r="L44" s="366">
        <f t="shared" si="16"/>
        <v>1.2808806790599096E-2</v>
      </c>
      <c r="M44" s="366">
        <f t="shared" si="16"/>
        <v>6.2506910549842837E-3</v>
      </c>
      <c r="N44" s="366">
        <f t="shared" si="16"/>
        <v>2.5905864958107441E-2</v>
      </c>
      <c r="O44" s="366">
        <f t="shared" si="16"/>
        <v>7.3762711864406777E-2</v>
      </c>
      <c r="P44" s="124"/>
      <c r="Q44" s="141">
        <f>IF((+Q$7+Q$8)=0," ",Q45/(+Q$7+Q$8))</f>
        <v>1.7176961412947382E-2</v>
      </c>
      <c r="R44" s="243" t="s">
        <v>11</v>
      </c>
      <c r="S44" s="133">
        <f>IF((+S$7+S$8)=0," ",S45/(+S$7+S$8))</f>
        <v>1.4971360036394467E-2</v>
      </c>
      <c r="T44" s="124"/>
      <c r="U44" s="134"/>
      <c r="V44" s="143"/>
      <c r="W44" s="135">
        <f>IF((+W$7+W$8)=0," ",W45/(+W$7+W$8))</f>
        <v>1.6638337940950869E-2</v>
      </c>
      <c r="AA44" s="44"/>
    </row>
    <row r="45" spans="1:29" s="44" customFormat="1" ht="35.1" customHeight="1">
      <c r="A45" s="270" t="s">
        <v>108</v>
      </c>
      <c r="B45" s="45"/>
      <c r="C45" s="45"/>
      <c r="D45" s="367">
        <f>'[5]Input Wrksht '!F25</f>
        <v>173.76</v>
      </c>
      <c r="E45" s="367">
        <f>'[5]Input Wrksht '!G25</f>
        <v>474.24</v>
      </c>
      <c r="F45" s="367">
        <f>'[5]Input Wrksht '!H25</f>
        <v>255.42</v>
      </c>
      <c r="G45" s="367">
        <f>'[5]Input Wrksht '!I25</f>
        <v>385.8</v>
      </c>
      <c r="H45" s="367">
        <f>'[5]Input Wrksht '!J25</f>
        <v>469.47</v>
      </c>
      <c r="I45" s="367">
        <f>'[5]Input Wrksht '!K25</f>
        <v>702.93</v>
      </c>
      <c r="J45" s="367">
        <f>'[5]Input Wrksht '!L25</f>
        <v>440.42</v>
      </c>
      <c r="K45" s="367">
        <f>'[5]Input Wrksht '!M25</f>
        <v>547.62</v>
      </c>
      <c r="L45" s="367">
        <f>'[5]Input Wrksht '!N25</f>
        <v>124.01</v>
      </c>
      <c r="M45" s="367">
        <f>'[5]Input Wrksht '!O25</f>
        <v>158.29</v>
      </c>
      <c r="N45" s="367">
        <f>'[5]Input Wrksht '!P25</f>
        <v>525.63</v>
      </c>
      <c r="O45" s="367">
        <f>'[5]Input Wrksht '!Q25</f>
        <v>418.88</v>
      </c>
      <c r="P45" s="48"/>
      <c r="Q45" s="139">
        <f t="shared" si="5"/>
        <v>4676.47</v>
      </c>
      <c r="R45" s="243">
        <f t="shared" ref="R45:R53" si="17">Q45/S45</f>
        <v>1.2918425414364643</v>
      </c>
      <c r="S45" s="53">
        <v>3620</v>
      </c>
      <c r="T45" s="51"/>
      <c r="U45" s="85">
        <f>+Q45-S45</f>
        <v>1056.4700000000003</v>
      </c>
      <c r="V45" s="143"/>
      <c r="W45" s="140">
        <v>4803.7800000000007</v>
      </c>
      <c r="AA45" s="365"/>
    </row>
    <row r="46" spans="1:29" s="127" customFormat="1" ht="27" customHeight="1">
      <c r="A46" s="124"/>
      <c r="B46" s="124"/>
      <c r="C46" s="124"/>
      <c r="D46" s="366" t="str">
        <f t="shared" ref="D46:O46" si="18">IF((+D$7+D$8)=0," ",D47/(+D$7+D$8))</f>
        <v xml:space="preserve"> </v>
      </c>
      <c r="E46" s="366" t="str">
        <f t="shared" si="18"/>
        <v xml:space="preserve"> </v>
      </c>
      <c r="F46" s="366" t="str">
        <f t="shared" si="18"/>
        <v xml:space="preserve"> </v>
      </c>
      <c r="G46" s="366">
        <f t="shared" si="18"/>
        <v>4.4691993609089296E-3</v>
      </c>
      <c r="H46" s="366">
        <f t="shared" si="18"/>
        <v>1.8588955858544482E-3</v>
      </c>
      <c r="I46" s="366">
        <f t="shared" si="18"/>
        <v>8.1080827211127172E-3</v>
      </c>
      <c r="J46" s="366">
        <f t="shared" si="18"/>
        <v>1.5371364717192851E-3</v>
      </c>
      <c r="K46" s="366">
        <f t="shared" si="18"/>
        <v>2.5669024310747383E-4</v>
      </c>
      <c r="L46" s="366">
        <f t="shared" si="18"/>
        <v>1.2435935308347157E-3</v>
      </c>
      <c r="M46" s="366">
        <f t="shared" si="18"/>
        <v>3.822521284493516E-4</v>
      </c>
      <c r="N46" s="366">
        <f t="shared" si="18"/>
        <v>1.4085756530310496E-3</v>
      </c>
      <c r="O46" s="366">
        <f t="shared" si="18"/>
        <v>1.3855161787365178E-2</v>
      </c>
      <c r="P46" s="124"/>
      <c r="Q46" s="141">
        <f>IF((+Q$7+Q$8)=0," ",Q47/(+Q$7+Q$8))</f>
        <v>2.2212838774716675E-3</v>
      </c>
      <c r="R46" s="243" t="s">
        <v>11</v>
      </c>
      <c r="S46" s="133">
        <f>IF((+S$7+S$8)=0," ",S47/(+S$7+S$8))</f>
        <v>2.4855766248268159E-3</v>
      </c>
      <c r="T46" s="124"/>
      <c r="U46" s="134"/>
      <c r="V46" s="143"/>
      <c r="W46" s="135">
        <f>IF((+W$7+W$8)=0," ",W47/(+W$7+W$8))</f>
        <v>4.1705467565288888E-3</v>
      </c>
      <c r="AA46" s="44"/>
    </row>
    <row r="47" spans="1:29" s="44" customFormat="1" ht="35.1" customHeight="1">
      <c r="A47" s="45" t="s">
        <v>109</v>
      </c>
      <c r="B47" s="45"/>
      <c r="C47" s="45"/>
      <c r="D47" s="367">
        <f>'[5]Input Wrksht '!F26</f>
        <v>66.17</v>
      </c>
      <c r="E47" s="367">
        <f>'[5]Input Wrksht '!G26</f>
        <v>17.25</v>
      </c>
      <c r="F47" s="367">
        <f>'[5]Input Wrksht '!H26</f>
        <v>21.94</v>
      </c>
      <c r="G47" s="367">
        <f>'[5]Input Wrksht '!I26</f>
        <v>50.35</v>
      </c>
      <c r="H47" s="367">
        <f>'[5]Input Wrksht '!J26</f>
        <v>9.5299999999999994</v>
      </c>
      <c r="I47" s="367">
        <f>'[5]Input Wrksht '!K26</f>
        <v>138.11000000000001</v>
      </c>
      <c r="J47" s="367">
        <f>'[5]Input Wrksht '!L26</f>
        <v>152.18</v>
      </c>
      <c r="K47" s="367">
        <f>'[5]Input Wrksht '!M26</f>
        <v>20.239999999999998</v>
      </c>
      <c r="L47" s="367">
        <f>'[5]Input Wrksht '!N26</f>
        <v>12.04</v>
      </c>
      <c r="M47" s="367">
        <f>'[5]Input Wrksht '!O26</f>
        <v>9.68</v>
      </c>
      <c r="N47" s="367">
        <f>'[5]Input Wrksht '!P26</f>
        <v>28.58</v>
      </c>
      <c r="O47" s="367">
        <f>'[5]Input Wrksht '!Q26</f>
        <v>78.680000000000007</v>
      </c>
      <c r="P47" s="48"/>
      <c r="Q47" s="139">
        <f t="shared" si="5"/>
        <v>604.75</v>
      </c>
      <c r="R47" s="243">
        <f t="shared" si="17"/>
        <v>1.0062396006655574</v>
      </c>
      <c r="S47" s="53">
        <v>601</v>
      </c>
      <c r="T47" s="51"/>
      <c r="U47" s="85">
        <f>+Q47-S47</f>
        <v>3.75</v>
      </c>
      <c r="V47" s="143"/>
      <c r="W47" s="140">
        <v>1204.1099999999999</v>
      </c>
      <c r="AA47" s="365"/>
    </row>
    <row r="48" spans="1:29" s="127" customFormat="1" ht="27" customHeight="1">
      <c r="A48" s="124"/>
      <c r="B48" s="124"/>
      <c r="C48" s="124"/>
      <c r="D48" s="366" t="str">
        <f t="shared" ref="D48:O48" si="19">IF((+D$7+D$8)=0," ",D49/(+D$7+D$8))</f>
        <v xml:space="preserve"> </v>
      </c>
      <c r="E48" s="366" t="str">
        <f t="shared" si="19"/>
        <v xml:space="preserve"> </v>
      </c>
      <c r="F48" s="366" t="str">
        <f t="shared" si="19"/>
        <v xml:space="preserve"> </v>
      </c>
      <c r="G48" s="366">
        <f t="shared" si="19"/>
        <v>0</v>
      </c>
      <c r="H48" s="366">
        <f t="shared" si="19"/>
        <v>0</v>
      </c>
      <c r="I48" s="366">
        <f t="shared" si="19"/>
        <v>2.2895896468278611E-3</v>
      </c>
      <c r="J48" s="366">
        <f t="shared" si="19"/>
        <v>0</v>
      </c>
      <c r="K48" s="366" t="s">
        <v>60</v>
      </c>
      <c r="L48" s="366">
        <f t="shared" si="19"/>
        <v>0</v>
      </c>
      <c r="M48" s="366">
        <f t="shared" si="19"/>
        <v>2.7301805430507513E-2</v>
      </c>
      <c r="N48" s="366">
        <f t="shared" si="19"/>
        <v>1.3011335633316905E-2</v>
      </c>
      <c r="O48" s="366">
        <f t="shared" si="19"/>
        <v>9.3814659916354834E-2</v>
      </c>
      <c r="P48" s="124"/>
      <c r="Q48" s="141">
        <f>IF((+Q$7+Q$8)=0," ",Q49/(+Q$7+Q$8))</f>
        <v>1.2736597494839902E-2</v>
      </c>
      <c r="R48" s="243" t="s">
        <v>11</v>
      </c>
      <c r="S48" s="133">
        <f>IF((+S$7+S$8)=0," ",S49/(+S$7+S$8))</f>
        <v>1.986393432453111E-2</v>
      </c>
      <c r="T48" s="124"/>
      <c r="U48" s="134"/>
      <c r="V48" s="143"/>
      <c r="W48" s="135">
        <f>IF((+W$7+W$8)=0," ",W49/(+W$7+W$8))</f>
        <v>1.1670298936462259E-2</v>
      </c>
      <c r="AA48" s="44"/>
    </row>
    <row r="49" spans="1:33" s="44" customFormat="1" ht="35.1" customHeight="1">
      <c r="A49" s="45" t="s">
        <v>110</v>
      </c>
      <c r="B49" s="45"/>
      <c r="C49" s="45"/>
      <c r="D49" s="367">
        <f>'[5]Input Wrksht '!F24+'[5]Input Wrksht '!F30+'[5]Input Wrksht '!F20</f>
        <v>71.81</v>
      </c>
      <c r="E49" s="367">
        <f>'[5]Input Wrksht '!G24+'[5]Input Wrksht '!G30+'[5]Input Wrksht '!G20</f>
        <v>1342.53</v>
      </c>
      <c r="F49" s="367">
        <f>'[5]Input Wrksht '!H24+'[5]Input Wrksht '!H30+'[5]Input Wrksht '!H20</f>
        <v>487.1</v>
      </c>
      <c r="G49" s="367">
        <f>'[5]Input Wrksht '!I24+'[5]Input Wrksht '!I30+'[5]Input Wrksht '!I20</f>
        <v>0</v>
      </c>
      <c r="H49" s="367">
        <f>'[5]Input Wrksht '!J24+'[5]Input Wrksht '!J30+'[5]Input Wrksht '!J20</f>
        <v>0</v>
      </c>
      <c r="I49" s="367">
        <f>'[5]Input Wrksht '!K24+'[5]Input Wrksht '!K30+'[5]Input Wrksht '!K20</f>
        <v>39</v>
      </c>
      <c r="J49" s="367">
        <f>'[5]Input Wrksht '!L24+'[5]Input Wrksht '!L30+'[5]Input Wrksht '!L20</f>
        <v>0</v>
      </c>
      <c r="K49" s="367">
        <f>'[5]Input Wrksht '!M24+'[5]Input Wrksht '!M30+'[5]Input Wrksht '!M20</f>
        <v>39</v>
      </c>
      <c r="L49" s="367">
        <f>'[5]Input Wrksht '!N24+'[5]Input Wrksht '!N30+'[5]Input Wrksht '!N20</f>
        <v>0</v>
      </c>
      <c r="M49" s="367">
        <f>'[5]Input Wrksht '!O24+'[5]Input Wrksht '!O30+'[5]Input Wrksht '!O20</f>
        <v>691.38</v>
      </c>
      <c r="N49" s="367">
        <f>'[5]Input Wrksht '!P24+'[5]Input Wrksht '!P30+'[5]Input Wrksht '!P20</f>
        <v>264</v>
      </c>
      <c r="O49" s="367">
        <f>'[5]Input Wrksht '!Q24+'[5]Input Wrksht '!Q30+'[5]Input Wrksht '!Q20</f>
        <v>532.75</v>
      </c>
      <c r="P49" s="48"/>
      <c r="Q49" s="139">
        <f t="shared" si="5"/>
        <v>3467.57</v>
      </c>
      <c r="R49" s="243">
        <f t="shared" si="17"/>
        <v>0.72195919217155946</v>
      </c>
      <c r="S49" s="53">
        <v>4803</v>
      </c>
      <c r="T49" s="51"/>
      <c r="U49" s="85">
        <f>+Q49-S49</f>
        <v>-1335.4299999999998</v>
      </c>
      <c r="V49" s="143"/>
      <c r="W49" s="140">
        <v>3369.42</v>
      </c>
      <c r="AA49" s="322" t="s">
        <v>11</v>
      </c>
    </row>
    <row r="50" spans="1:33" s="127" customFormat="1" ht="27" customHeight="1">
      <c r="A50" s="124"/>
      <c r="B50" s="124"/>
      <c r="C50" s="124"/>
      <c r="D50" s="366" t="str">
        <f t="shared" ref="D50:O50" si="20">IF((+D$7+D$8)=0," ",D51/(+D$7+D$8))</f>
        <v xml:space="preserve"> </v>
      </c>
      <c r="E50" s="366" t="str">
        <f t="shared" si="20"/>
        <v xml:space="preserve"> </v>
      </c>
      <c r="F50" s="366" t="str">
        <f t="shared" si="20"/>
        <v xml:space="preserve"> </v>
      </c>
      <c r="G50" s="366">
        <f t="shared" si="20"/>
        <v>2.2190662169359133E-3</v>
      </c>
      <c r="H50" s="366">
        <f t="shared" si="20"/>
        <v>0</v>
      </c>
      <c r="I50" s="366">
        <f t="shared" si="20"/>
        <v>0</v>
      </c>
      <c r="J50" s="366">
        <f t="shared" si="20"/>
        <v>0</v>
      </c>
      <c r="K50" s="366">
        <f t="shared" si="20"/>
        <v>0</v>
      </c>
      <c r="L50" s="366">
        <f t="shared" si="20"/>
        <v>0</v>
      </c>
      <c r="M50" s="366">
        <f t="shared" si="20"/>
        <v>0</v>
      </c>
      <c r="N50" s="366">
        <f t="shared" si="20"/>
        <v>0</v>
      </c>
      <c r="O50" s="366">
        <f t="shared" si="20"/>
        <v>0</v>
      </c>
      <c r="P50" s="124"/>
      <c r="Q50" s="141">
        <f>IF((+Q$7+Q$8)=0," ",Q51/(+Q$7+Q$8))</f>
        <v>9.1826534827270265E-5</v>
      </c>
      <c r="R50" s="243" t="s">
        <v>11</v>
      </c>
      <c r="S50" s="133">
        <f>IF((+S$7+S$8)=0," ",S51/(+S$7+S$8))</f>
        <v>5.5832420025227984E-4</v>
      </c>
      <c r="T50" s="124"/>
      <c r="U50" s="134"/>
      <c r="V50" s="143"/>
      <c r="W50" s="135">
        <f>IF((+W$7+W$8)=0," ",W51/(+W$7+W$8))</f>
        <v>4.5674398583473656E-4</v>
      </c>
      <c r="AA50" s="377"/>
    </row>
    <row r="51" spans="1:33" s="44" customFormat="1" ht="35.1" customHeight="1">
      <c r="A51" s="45" t="s">
        <v>111</v>
      </c>
      <c r="B51" s="45"/>
      <c r="C51" s="45"/>
      <c r="D51" s="367">
        <v>0</v>
      </c>
      <c r="E51" s="367">
        <v>0</v>
      </c>
      <c r="F51" s="367">
        <v>0</v>
      </c>
      <c r="G51" s="367">
        <f>'[5]Input Wrksht '!I32</f>
        <v>25</v>
      </c>
      <c r="H51" s="367">
        <f>'[5]Input Wrksht '!J32</f>
        <v>0</v>
      </c>
      <c r="I51" s="367">
        <f>'[5]Input Wrksht '!K32</f>
        <v>0</v>
      </c>
      <c r="J51" s="367">
        <f>'[5]Input Wrksht '!L32</f>
        <v>0</v>
      </c>
      <c r="K51" s="367">
        <f>'[5]Input Wrksht '!M32</f>
        <v>0</v>
      </c>
      <c r="L51" s="367">
        <f>'[5]Input Wrksht '!N32</f>
        <v>0</v>
      </c>
      <c r="M51" s="367">
        <f>'[5]Input Wrksht '!O32+'[5]Input Wrksht '!O33</f>
        <v>0</v>
      </c>
      <c r="N51" s="367">
        <f>'[5]Input Wrksht '!P32+'[5]Input Wrksht '!P33</f>
        <v>0</v>
      </c>
      <c r="O51" s="367">
        <f>'[5]Input Wrksht '!Q32+'[5]Input Wrksht '!Q33</f>
        <v>0</v>
      </c>
      <c r="P51" s="48"/>
      <c r="Q51" s="139">
        <f t="shared" si="5"/>
        <v>25</v>
      </c>
      <c r="R51" s="243">
        <f t="shared" si="17"/>
        <v>0.18518518518518517</v>
      </c>
      <c r="S51" s="53">
        <v>135</v>
      </c>
      <c r="T51" s="51"/>
      <c r="U51" s="154">
        <f>+Q51-S51</f>
        <v>-110</v>
      </c>
      <c r="V51" s="143"/>
      <c r="W51" s="140">
        <v>131.87</v>
      </c>
      <c r="AA51" s="326" t="s">
        <v>11</v>
      </c>
    </row>
    <row r="52" spans="1:33" s="51" customFormat="1">
      <c r="A52" s="45"/>
      <c r="B52" s="45"/>
      <c r="C52" s="45"/>
      <c r="D52" s="378"/>
      <c r="E52" s="378"/>
      <c r="F52" s="378"/>
      <c r="G52" s="378"/>
      <c r="H52" s="378"/>
      <c r="I52" s="378"/>
      <c r="J52" s="378"/>
      <c r="K52" s="379"/>
      <c r="L52" s="379"/>
      <c r="M52" s="379"/>
      <c r="N52" s="379"/>
      <c r="O52" s="379"/>
      <c r="P52" s="48"/>
      <c r="Q52" s="132"/>
      <c r="R52" s="243" t="s">
        <v>11</v>
      </c>
      <c r="S52" s="156"/>
      <c r="U52" s="85"/>
      <c r="V52" s="143"/>
      <c r="W52" s="157"/>
      <c r="Z52" s="322" t="s">
        <v>120</v>
      </c>
      <c r="AA52" s="326" t="s">
        <v>11</v>
      </c>
    </row>
    <row r="53" spans="1:33" s="85" customFormat="1" ht="50.1" customHeight="1" thickBot="1">
      <c r="A53" s="271"/>
      <c r="B53" s="62" t="s">
        <v>63</v>
      </c>
      <c r="C53" s="62"/>
      <c r="D53" s="380">
        <f>+D51+D49+D47+D45+D43+D41+D39+D37+D35+D33+D31+D29+D27+D25+D23+D21</f>
        <v>12526.039999999999</v>
      </c>
      <c r="E53" s="380">
        <f t="shared" ref="E53:O53" si="21">+E51+E49+E47+E45+E43+E41+E39+E37+E35+E33+E31+E29+E27+E25+E23+E21</f>
        <v>15662.62</v>
      </c>
      <c r="F53" s="380">
        <f t="shared" si="21"/>
        <v>5756.260000000002</v>
      </c>
      <c r="G53" s="380">
        <f t="shared" si="21"/>
        <v>19026.990000000002</v>
      </c>
      <c r="H53" s="380">
        <f t="shared" si="21"/>
        <v>14155.89</v>
      </c>
      <c r="I53" s="380">
        <f t="shared" si="21"/>
        <v>24582.929999999997</v>
      </c>
      <c r="J53" s="380">
        <f>+J51+J49+J47+J45+J43+J41+J39+J37+J35+J33+J31+J29+J27+J25+J23+J21</f>
        <v>54602.94</v>
      </c>
      <c r="K53" s="380">
        <f>+K51+K49+K47+K45+K43+K41+K39+K37+K35+K33+K31+K29+K27+K25+K23+K21</f>
        <v>56121.460000000006</v>
      </c>
      <c r="L53" s="380">
        <f t="shared" si="21"/>
        <v>15775.720000000001</v>
      </c>
      <c r="M53" s="380">
        <f t="shared" si="21"/>
        <v>23467.59</v>
      </c>
      <c r="N53" s="380">
        <f t="shared" si="21"/>
        <v>21127.130000000005</v>
      </c>
      <c r="O53" s="380">
        <f t="shared" si="21"/>
        <v>18293.68</v>
      </c>
      <c r="P53" s="64"/>
      <c r="Q53" s="68">
        <f>+Q51+Q49+Q47+Q45+Q43+Q41+Q39+Q37+Q35+Q33+Q31+Q29+Q27+Q25+Q23+Q21</f>
        <v>281099.25</v>
      </c>
      <c r="R53" s="243">
        <f t="shared" si="17"/>
        <v>1.130138101555904</v>
      </c>
      <c r="S53" s="70">
        <f>+S51+S49+S47+S45+S43+S41+S39+S37+S35+S33+S31+S29+S27+S25+S23+S21</f>
        <v>248730</v>
      </c>
      <c r="T53" s="64">
        <f>+T51+T49+T47+T45+T43+T41+T39+T37+T35+T33+T31+T29+T27+T25+T23+T21</f>
        <v>0</v>
      </c>
      <c r="U53" s="64">
        <f>+U51+U49+U47+U45+U43+U41+U39+U37+U35+U33+U31+U29+U27+U25+U23+U21</f>
        <v>32369.249999999993</v>
      </c>
      <c r="V53" s="143"/>
      <c r="W53" s="158">
        <f>+W51+W49+W47+W45+W43+W41+W39+W37+W35+W33+W31+W29+W27+W25+W23+W21</f>
        <v>296780.80000000005</v>
      </c>
      <c r="Z53" s="326">
        <f>'[6]LOD 2018 Accounting R&amp;E'!$Q$56-'[6]LOD 2018 Accounting R&amp;E'!$G$55-'[6]LOD 2018 Accounting R&amp;E'!$H$55+G53+H53</f>
        <v>253483.38949999993</v>
      </c>
      <c r="AA53" s="381" t="s">
        <v>11</v>
      </c>
    </row>
    <row r="54" spans="1:33" s="15" customFormat="1" ht="27" thickTop="1">
      <c r="A54" s="56"/>
      <c r="B54" s="56"/>
      <c r="C54" s="56"/>
      <c r="D54" s="382">
        <v>0</v>
      </c>
      <c r="E54" s="383">
        <v>0</v>
      </c>
      <c r="F54" s="383">
        <v>0</v>
      </c>
      <c r="G54" s="383">
        <v>0</v>
      </c>
      <c r="H54" s="383">
        <v>0</v>
      </c>
      <c r="I54" s="383">
        <v>0</v>
      </c>
      <c r="J54" s="384">
        <f>SUM($D$53:J53)</f>
        <v>146313.66999999998</v>
      </c>
      <c r="K54" s="383">
        <v>0</v>
      </c>
      <c r="L54" s="383">
        <v>0</v>
      </c>
      <c r="M54" s="383">
        <v>0</v>
      </c>
      <c r="N54" s="383" t="s">
        <v>11</v>
      </c>
      <c r="O54" s="383">
        <v>0</v>
      </c>
      <c r="P54" s="86"/>
      <c r="Q54" s="56"/>
      <c r="R54" s="243" t="s">
        <v>11</v>
      </c>
      <c r="S54" s="162"/>
      <c r="T54" s="51"/>
      <c r="U54" s="85"/>
      <c r="V54" s="143"/>
      <c r="W54" s="163"/>
    </row>
    <row r="55" spans="1:33" s="85" customFormat="1" ht="50.1" customHeight="1" thickBot="1">
      <c r="A55" s="272"/>
      <c r="B55" s="273" t="s">
        <v>65</v>
      </c>
      <c r="C55" s="274"/>
      <c r="D55" s="385">
        <f t="shared" ref="D55:O55" si="22">+D13-D53</f>
        <v>-12526.039999999999</v>
      </c>
      <c r="E55" s="385">
        <f>+E13-E53</f>
        <v>-15662.62</v>
      </c>
      <c r="F55" s="386">
        <f t="shared" si="22"/>
        <v>-5756.260000000002</v>
      </c>
      <c r="G55" s="386">
        <f t="shared" si="22"/>
        <v>-4065.9500000000007</v>
      </c>
      <c r="H55" s="386">
        <f t="shared" si="22"/>
        <v>-9029.1899999999987</v>
      </c>
      <c r="I55" s="386">
        <f t="shared" si="22"/>
        <v>-7549.309999999994</v>
      </c>
      <c r="J55" s="386">
        <f t="shared" si="22"/>
        <v>44399.329999999987</v>
      </c>
      <c r="K55" s="386">
        <f t="shared" si="22"/>
        <v>23628.439999999988</v>
      </c>
      <c r="L55" s="386">
        <f t="shared" si="22"/>
        <v>-5002.3500000000022</v>
      </c>
      <c r="M55" s="386">
        <f t="shared" si="22"/>
        <v>5016.0099999999984</v>
      </c>
      <c r="N55" s="386">
        <f t="shared" si="22"/>
        <v>-837.13000000000466</v>
      </c>
      <c r="O55" s="386">
        <f t="shared" si="22"/>
        <v>-12614.93</v>
      </c>
      <c r="P55" s="71"/>
      <c r="Q55" s="234">
        <f>ROUND(+Q13-Q53,-1)</f>
        <v>0</v>
      </c>
      <c r="R55" s="243" t="s">
        <v>11</v>
      </c>
      <c r="S55" s="167">
        <f>+S13-S53</f>
        <v>0</v>
      </c>
      <c r="T55" s="71"/>
      <c r="U55" s="64">
        <f>+U13-U53</f>
        <v>0</v>
      </c>
      <c r="V55" s="143"/>
      <c r="W55" s="168">
        <f>ROUND(+W13-W53,-10)</f>
        <v>0</v>
      </c>
      <c r="AA55" s="387" t="s">
        <v>11</v>
      </c>
    </row>
    <row r="56" spans="1:33" s="15" customFormat="1" ht="21" customHeight="1" thickTop="1">
      <c r="A56" s="169"/>
      <c r="B56" s="169"/>
      <c r="C56" s="169"/>
      <c r="D56" s="170"/>
      <c r="E56" s="170"/>
      <c r="F56" s="171"/>
      <c r="G56" s="170"/>
      <c r="H56" s="170"/>
      <c r="I56" s="170"/>
      <c r="J56" s="170"/>
      <c r="K56" s="170"/>
      <c r="L56" s="170"/>
      <c r="M56" s="171"/>
      <c r="N56" s="171"/>
      <c r="O56" s="172"/>
      <c r="P56" s="172"/>
      <c r="Q56" s="172"/>
      <c r="R56" s="172"/>
      <c r="S56" s="51"/>
      <c r="T56" s="51"/>
      <c r="U56" s="51"/>
      <c r="V56" s="143"/>
      <c r="W56" s="143"/>
      <c r="AA56" s="387"/>
    </row>
    <row r="57" spans="1:33" s="15" customFormat="1" ht="36" customHeight="1">
      <c r="A57" s="275"/>
      <c r="B57" s="276" t="s">
        <v>66</v>
      </c>
      <c r="C57" s="277"/>
      <c r="D57" s="388"/>
      <c r="E57" s="389">
        <f>+D55+E55</f>
        <v>-28188.66</v>
      </c>
      <c r="F57" s="389">
        <f>+E57+F55</f>
        <v>-33944.92</v>
      </c>
      <c r="G57" s="389">
        <f t="shared" ref="G57:N57" si="23">+F57+G55</f>
        <v>-38010.869999999995</v>
      </c>
      <c r="H57" s="389">
        <f t="shared" si="23"/>
        <v>-47040.06</v>
      </c>
      <c r="I57" s="389">
        <f t="shared" si="23"/>
        <v>-54589.369999999995</v>
      </c>
      <c r="J57" s="389">
        <f t="shared" si="23"/>
        <v>-10190.040000000008</v>
      </c>
      <c r="K57" s="389">
        <f t="shared" si="23"/>
        <v>13438.39999999998</v>
      </c>
      <c r="L57" s="389">
        <f t="shared" si="23"/>
        <v>8436.0499999999774</v>
      </c>
      <c r="M57" s="389">
        <f t="shared" si="23"/>
        <v>13452.059999999976</v>
      </c>
      <c r="N57" s="389">
        <f t="shared" si="23"/>
        <v>12614.929999999971</v>
      </c>
      <c r="O57" s="235">
        <f>ROUND(N57+O55,-1)</f>
        <v>0</v>
      </c>
      <c r="P57" s="176"/>
      <c r="Q57" s="177"/>
      <c r="R57" s="171"/>
      <c r="S57" s="51"/>
      <c r="T57" s="51"/>
      <c r="U57" s="51"/>
      <c r="V57" s="143"/>
      <c r="W57" s="143"/>
      <c r="AA57" s="390"/>
    </row>
    <row r="58" spans="1:33" s="15" customFormat="1" ht="36" customHeight="1">
      <c r="A58" s="173"/>
      <c r="B58" s="174"/>
      <c r="C58" s="174"/>
      <c r="D58" s="171"/>
      <c r="E58" s="175"/>
      <c r="F58" s="175"/>
      <c r="G58" s="175"/>
      <c r="H58" s="175"/>
      <c r="I58" s="270" t="s">
        <v>108</v>
      </c>
      <c r="J58" s="175"/>
      <c r="K58" s="175"/>
      <c r="L58" s="175"/>
      <c r="M58" s="175"/>
      <c r="N58" s="175"/>
      <c r="O58" s="178" t="s">
        <v>67</v>
      </c>
      <c r="P58" s="176"/>
      <c r="Q58" s="278">
        <f>+Q55+Q43</f>
        <v>9034.36</v>
      </c>
      <c r="R58" s="171"/>
      <c r="S58" s="51"/>
      <c r="T58" s="51"/>
      <c r="U58" s="51"/>
      <c r="V58" s="143"/>
      <c r="W58" s="179">
        <f>+W55+W43</f>
        <v>17458.63</v>
      </c>
      <c r="AA58" s="22"/>
    </row>
    <row r="59" spans="1:33" s="15" customFormat="1" ht="36" hidden="1" customHeight="1">
      <c r="A59" s="173"/>
      <c r="B59" s="174"/>
      <c r="C59" s="174"/>
      <c r="D59" s="171"/>
      <c r="E59" s="175"/>
      <c r="F59" s="175"/>
      <c r="G59" s="175"/>
      <c r="H59" s="175"/>
      <c r="I59" s="270"/>
      <c r="J59" s="175"/>
      <c r="K59" s="175"/>
      <c r="L59" s="175"/>
      <c r="M59" s="175"/>
      <c r="N59" s="175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</row>
    <row r="60" spans="1:33" s="15" customFormat="1" ht="36" hidden="1" customHeight="1">
      <c r="A60" s="173"/>
      <c r="B60" s="174"/>
      <c r="C60" s="174"/>
      <c r="D60" s="171"/>
      <c r="E60" s="175"/>
      <c r="F60" s="175"/>
      <c r="G60" s="175"/>
      <c r="H60" s="175"/>
      <c r="I60" s="270"/>
      <c r="J60" s="175"/>
      <c r="K60" s="175"/>
      <c r="L60" s="175"/>
      <c r="M60" s="175"/>
      <c r="N60" s="175"/>
      <c r="O60" s="391" t="s">
        <v>129</v>
      </c>
      <c r="P60" s="392"/>
      <c r="Q60" s="393">
        <f>Q23</f>
        <v>88181.959999999992</v>
      </c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</row>
    <row r="61" spans="1:33" s="15" customFormat="1" ht="24.75" hidden="1" customHeight="1">
      <c r="A61" s="173"/>
      <c r="B61" s="173"/>
      <c r="C61" s="173"/>
      <c r="D61" s="173"/>
      <c r="E61" s="173"/>
      <c r="F61" s="173"/>
      <c r="G61" s="173"/>
      <c r="H61" s="173"/>
      <c r="I61" s="124"/>
      <c r="J61" s="785" t="s">
        <v>130</v>
      </c>
      <c r="K61" s="785"/>
      <c r="L61" s="175"/>
      <c r="M61" s="175"/>
      <c r="N61" s="173"/>
      <c r="O61" s="391" t="s">
        <v>131</v>
      </c>
      <c r="P61" s="392"/>
      <c r="Q61" s="393">
        <f>Q25</f>
        <v>24843.499999999996</v>
      </c>
      <c r="R61" s="394"/>
      <c r="S61" s="395" t="s">
        <v>132</v>
      </c>
      <c r="U61" s="22"/>
      <c r="V61" s="143"/>
      <c r="W61" s="143"/>
      <c r="AA61" s="22"/>
    </row>
    <row r="62" spans="1:33" ht="26.25" hidden="1" customHeight="1">
      <c r="A62" s="396"/>
      <c r="B62" s="397" t="s">
        <v>133</v>
      </c>
      <c r="C62" s="398"/>
      <c r="D62" s="399">
        <f>D13</f>
        <v>0</v>
      </c>
      <c r="E62" s="399">
        <f>SUM($D$13:E13)</f>
        <v>0</v>
      </c>
      <c r="F62" s="399">
        <f>SUM($D$13:F13)</f>
        <v>0</v>
      </c>
      <c r="G62" s="399">
        <f>SUM($D$13:G13)</f>
        <v>14961.04</v>
      </c>
      <c r="H62" s="399">
        <f>SUM($D$13:H13)</f>
        <v>20087.740000000002</v>
      </c>
      <c r="I62" s="399">
        <f>SUM($D$13:I13)</f>
        <v>37121.360000000001</v>
      </c>
      <c r="J62" s="399">
        <f>SUM($D$13:J13)</f>
        <v>136123.63</v>
      </c>
      <c r="K62" s="399">
        <f>SUM($D$13:K13)</f>
        <v>215873.53</v>
      </c>
      <c r="L62" s="399">
        <f>SUM($D$13:L13)</f>
        <v>226646.9</v>
      </c>
      <c r="M62" s="399">
        <f>SUM($D$13:M13)</f>
        <v>255130.5</v>
      </c>
      <c r="N62" s="399">
        <f>SUM($D$13:N13)</f>
        <v>275420.5</v>
      </c>
      <c r="O62" s="399">
        <f>SUM($D$13:O13)</f>
        <v>281099.25</v>
      </c>
      <c r="P62" s="392"/>
      <c r="Q62" s="400">
        <f>SUM(Q60:Q61)</f>
        <v>113025.45999999999</v>
      </c>
      <c r="S62" s="401">
        <f>SUM($D$7:O8)*0.24</f>
        <v>65340.590399999986</v>
      </c>
      <c r="T62" s="171"/>
      <c r="U62" s="786" t="s">
        <v>134</v>
      </c>
      <c r="V62" s="786"/>
      <c r="W62" s="786"/>
      <c r="Y62" s="172"/>
      <c r="Z62" s="172"/>
      <c r="AA62" s="172"/>
      <c r="AB62" s="172"/>
      <c r="AC62" s="172"/>
      <c r="AD62" s="172"/>
      <c r="AE62" s="172"/>
      <c r="AF62" s="172"/>
      <c r="AG62" s="172"/>
    </row>
    <row r="63" spans="1:33" ht="26.25" hidden="1" customHeight="1">
      <c r="A63" s="396"/>
      <c r="B63" s="397" t="s">
        <v>135</v>
      </c>
      <c r="C63" s="398"/>
      <c r="D63" s="399">
        <f>SUM($D$7:D8)</f>
        <v>0</v>
      </c>
      <c r="E63" s="399">
        <f>SUM($D$7:E8)</f>
        <v>0</v>
      </c>
      <c r="F63" s="399">
        <f>SUM($D$7:F8)</f>
        <v>0</v>
      </c>
      <c r="G63" s="399">
        <f>SUM($D$7:G8)</f>
        <v>11266</v>
      </c>
      <c r="H63" s="399">
        <f>SUM($D$7:H8)</f>
        <v>16392.7</v>
      </c>
      <c r="I63" s="399">
        <f>SUM($D$7:I8)</f>
        <v>33426.32</v>
      </c>
      <c r="J63" s="399">
        <f>SUM($D$7:J8)</f>
        <v>132428.59</v>
      </c>
      <c r="K63" s="399">
        <f>SUM($D$7:K8)</f>
        <v>211278.49</v>
      </c>
      <c r="L63" s="399">
        <f>SUM($D$7:L8)</f>
        <v>220960.11</v>
      </c>
      <c r="M63" s="399">
        <f>SUM($D$7:M8)</f>
        <v>246283.71</v>
      </c>
      <c r="N63" s="399">
        <f>SUM($D$7:N8)</f>
        <v>266573.70999999996</v>
      </c>
      <c r="O63" s="399">
        <f>SUM($D$7:O8)</f>
        <v>272252.45999999996</v>
      </c>
      <c r="P63" s="392"/>
      <c r="Q63" s="402"/>
      <c r="S63" s="403"/>
      <c r="T63" s="403"/>
      <c r="U63" s="403"/>
      <c r="V63" s="403"/>
      <c r="W63" s="403"/>
      <c r="Y63" s="172"/>
      <c r="Z63" s="172"/>
      <c r="AA63" s="172"/>
      <c r="AC63" s="172"/>
      <c r="AD63" s="172"/>
      <c r="AE63" s="172"/>
      <c r="AF63" s="172"/>
      <c r="AG63" s="172"/>
    </row>
    <row r="64" spans="1:33" ht="26.25" hidden="1" customHeight="1">
      <c r="A64" s="5"/>
      <c r="B64" s="5"/>
      <c r="C64" s="5"/>
      <c r="O64" s="391" t="s">
        <v>136</v>
      </c>
      <c r="P64" s="392"/>
      <c r="Q64" s="393">
        <f>Q53</f>
        <v>281099.25</v>
      </c>
      <c r="S64" s="403"/>
      <c r="T64" s="403"/>
      <c r="U64" s="403"/>
      <c r="V64" s="403"/>
      <c r="W64" s="403"/>
      <c r="Y64" s="172"/>
      <c r="Z64" s="172"/>
      <c r="AA64" s="172"/>
      <c r="AC64" s="172"/>
      <c r="AD64" s="172"/>
      <c r="AE64" s="172"/>
      <c r="AF64" s="172"/>
      <c r="AG64" s="172"/>
    </row>
    <row r="65" spans="1:33" ht="26.25" hidden="1" customHeight="1">
      <c r="A65" s="5"/>
      <c r="B65" s="5"/>
      <c r="C65" s="5"/>
      <c r="O65" s="404" t="s">
        <v>137</v>
      </c>
      <c r="P65" s="405"/>
      <c r="Q65" s="406">
        <f>Q62/Q64</f>
        <v>0.4020838191492862</v>
      </c>
      <c r="S65" s="403"/>
      <c r="T65" s="403"/>
      <c r="U65" s="403"/>
      <c r="V65" s="403"/>
      <c r="W65" s="403"/>
      <c r="Y65" s="172"/>
      <c r="Z65" s="172"/>
      <c r="AA65" s="172"/>
      <c r="AC65" s="172"/>
      <c r="AD65" s="172"/>
      <c r="AE65" s="172"/>
      <c r="AF65" s="172"/>
      <c r="AG65" s="172"/>
    </row>
    <row r="66" spans="1:33" ht="26.25" hidden="1" customHeight="1">
      <c r="A66" s="5"/>
      <c r="B66" s="5"/>
      <c r="C66" s="5"/>
      <c r="S66" s="403"/>
      <c r="T66" s="403"/>
      <c r="U66" s="403"/>
      <c r="V66" s="403"/>
      <c r="W66" s="403"/>
      <c r="Y66" s="172"/>
      <c r="Z66" s="172"/>
      <c r="AA66" s="172"/>
      <c r="AC66" s="172"/>
      <c r="AD66" s="172"/>
      <c r="AE66" s="172"/>
      <c r="AF66" s="172"/>
      <c r="AG66" s="172"/>
    </row>
    <row r="67" spans="1:33" ht="26.25" hidden="1" customHeight="1" thickBot="1">
      <c r="A67" s="5"/>
      <c r="B67" s="5"/>
      <c r="C67" s="5"/>
      <c r="J67" s="345"/>
      <c r="L67" s="407" t="s">
        <v>138</v>
      </c>
      <c r="M67" s="408">
        <f>'[5]Input Wrksht '!R12</f>
        <v>281099.25</v>
      </c>
      <c r="S67" s="403"/>
      <c r="T67" s="403"/>
      <c r="U67" s="403"/>
      <c r="V67" s="403"/>
      <c r="W67" s="403"/>
      <c r="Y67" s="172"/>
      <c r="Z67" s="172"/>
      <c r="AA67" s="172"/>
      <c r="AC67" s="172"/>
      <c r="AD67" s="172"/>
      <c r="AE67" s="172"/>
      <c r="AF67" s="172"/>
      <c r="AG67" s="172"/>
    </row>
    <row r="68" spans="1:33" s="15" customFormat="1" ht="27" hidden="1" thickBot="1">
      <c r="A68" s="176"/>
      <c r="B68" s="176"/>
      <c r="C68" s="176"/>
      <c r="D68" s="171"/>
      <c r="E68" s="171"/>
      <c r="F68" s="171"/>
      <c r="G68" s="175"/>
      <c r="H68" s="175"/>
      <c r="I68" s="175"/>
      <c r="J68" s="175"/>
      <c r="K68" s="175"/>
      <c r="L68" s="407" t="s">
        <v>139</v>
      </c>
      <c r="M68" s="409">
        <f>SUM(D13:M13)</f>
        <v>255130.5</v>
      </c>
      <c r="N68" s="171"/>
      <c r="R68" s="345"/>
      <c r="S68" s="51"/>
      <c r="T68" s="51"/>
      <c r="U68" s="51"/>
      <c r="AA68" s="22"/>
    </row>
    <row r="69" spans="1:33" ht="21" hidden="1" customHeight="1" thickTop="1">
      <c r="A69" s="15"/>
      <c r="B69" s="15"/>
      <c r="C69" s="15"/>
      <c r="D69" s="171"/>
      <c r="E69" s="171"/>
      <c r="F69" s="171"/>
      <c r="G69" s="175"/>
      <c r="H69" s="175"/>
      <c r="I69" s="175"/>
      <c r="J69" s="175"/>
      <c r="K69" s="175"/>
      <c r="L69" s="175"/>
      <c r="M69" s="175"/>
      <c r="N69" s="171"/>
      <c r="O69" s="171"/>
      <c r="P69" s="171"/>
      <c r="Q69" s="171"/>
    </row>
    <row r="70" spans="1:33" ht="21" hidden="1" customHeight="1">
      <c r="A70" s="15"/>
      <c r="B70" s="15"/>
      <c r="C70" s="15"/>
      <c r="D70" s="171"/>
      <c r="E70" s="171"/>
      <c r="F70" s="171"/>
      <c r="G70" s="175"/>
      <c r="H70" s="175"/>
      <c r="I70" s="175"/>
      <c r="J70" s="175"/>
      <c r="K70" s="175"/>
      <c r="L70" s="175"/>
      <c r="M70" s="175"/>
      <c r="N70" s="171"/>
      <c r="O70" s="171"/>
      <c r="P70" s="171"/>
      <c r="Q70" s="171"/>
    </row>
    <row r="71" spans="1:33" ht="21" hidden="1" customHeight="1">
      <c r="A71" s="15"/>
      <c r="B71" s="15"/>
      <c r="C71" s="15"/>
      <c r="G71" s="175"/>
      <c r="H71" s="175"/>
      <c r="I71" s="175"/>
      <c r="J71" s="175"/>
      <c r="K71" s="175"/>
      <c r="L71" s="175"/>
      <c r="M71" s="175"/>
    </row>
    <row r="72" spans="1:33" ht="15.75" hidden="1" customHeight="1">
      <c r="A72" s="15"/>
      <c r="B72" s="15"/>
      <c r="C72" s="15"/>
      <c r="G72" s="175"/>
      <c r="H72" s="175"/>
      <c r="I72" s="175"/>
      <c r="J72" s="175"/>
      <c r="K72" s="175"/>
      <c r="L72" s="175"/>
      <c r="M72" s="175"/>
    </row>
    <row r="73" spans="1:33" hidden="1">
      <c r="M73" s="410"/>
      <c r="N73" s="411">
        <v>262286.82</v>
      </c>
    </row>
    <row r="74" spans="1:33" hidden="1">
      <c r="A74" s="412">
        <v>0</v>
      </c>
      <c r="B74" s="412">
        <v>1</v>
      </c>
      <c r="C74" s="412">
        <v>0</v>
      </c>
      <c r="D74" s="412">
        <v>232</v>
      </c>
      <c r="E74" s="412">
        <v>66</v>
      </c>
      <c r="F74" s="412">
        <v>245</v>
      </c>
      <c r="G74" s="412">
        <v>1635</v>
      </c>
      <c r="H74" s="412">
        <v>875</v>
      </c>
      <c r="I74" s="412">
        <v>130</v>
      </c>
      <c r="J74" s="412">
        <v>338</v>
      </c>
      <c r="K74" s="412">
        <v>425</v>
      </c>
      <c r="L74" s="412">
        <v>80</v>
      </c>
      <c r="M74" s="413"/>
      <c r="N74" s="414">
        <v>4027</v>
      </c>
    </row>
    <row r="75" spans="1:33">
      <c r="A75" s="15"/>
      <c r="B75" s="15"/>
      <c r="C75" s="15"/>
      <c r="G75" s="175"/>
      <c r="H75" s="175"/>
      <c r="I75" s="175"/>
      <c r="J75" s="175"/>
      <c r="K75" s="175"/>
      <c r="L75" s="175"/>
      <c r="M75" s="175"/>
    </row>
    <row r="76" spans="1:33">
      <c r="A76" s="15"/>
      <c r="B76" s="15"/>
      <c r="C76" s="15"/>
      <c r="G76" s="175"/>
      <c r="H76" s="175"/>
      <c r="I76" s="175"/>
      <c r="J76" s="175"/>
      <c r="K76" s="175"/>
      <c r="L76" s="175"/>
      <c r="M76" s="175"/>
    </row>
    <row r="77" spans="1:33">
      <c r="A77" s="15"/>
      <c r="B77" s="15"/>
      <c r="C77" s="15"/>
      <c r="G77" s="175"/>
      <c r="H77" s="175"/>
      <c r="I77" s="175"/>
      <c r="J77" s="175"/>
      <c r="K77" s="175"/>
      <c r="L77" s="175"/>
      <c r="M77" s="175"/>
    </row>
    <row r="78" spans="1:33">
      <c r="A78" s="15"/>
      <c r="B78" s="15"/>
      <c r="C78" s="15"/>
      <c r="G78" s="175"/>
      <c r="H78" s="175"/>
      <c r="I78" s="175"/>
      <c r="J78" s="175"/>
      <c r="K78" s="175"/>
      <c r="L78" s="175"/>
      <c r="M78" s="175"/>
    </row>
    <row r="79" spans="1:33">
      <c r="G79" s="175"/>
      <c r="H79" s="175"/>
      <c r="I79" s="175"/>
      <c r="J79" s="175"/>
      <c r="K79" s="175"/>
      <c r="L79" s="175"/>
      <c r="M79" s="175"/>
    </row>
    <row r="80" spans="1:33">
      <c r="G80" s="175"/>
      <c r="H80" s="175"/>
      <c r="I80" s="175"/>
      <c r="J80" s="175"/>
      <c r="K80" s="175"/>
      <c r="L80" s="175"/>
      <c r="M80" s="175"/>
    </row>
    <row r="81" spans="7:13">
      <c r="G81" s="175"/>
      <c r="H81" s="175"/>
      <c r="I81" s="175"/>
      <c r="J81" s="175"/>
      <c r="K81" s="175"/>
      <c r="L81" s="175"/>
      <c r="M81" s="175"/>
    </row>
    <row r="82" spans="7:13">
      <c r="G82" s="175"/>
      <c r="H82" s="175"/>
      <c r="I82" s="175"/>
      <c r="J82" s="175"/>
      <c r="K82" s="175"/>
      <c r="L82" s="175"/>
      <c r="M82" s="175"/>
    </row>
  </sheetData>
  <mergeCells count="8">
    <mergeCell ref="J61:K61"/>
    <mergeCell ref="U62:W62"/>
    <mergeCell ref="D1:Q1"/>
    <mergeCell ref="D2:Q2"/>
    <mergeCell ref="E3:G3"/>
    <mergeCell ref="I3:K3"/>
    <mergeCell ref="U5:U6"/>
    <mergeCell ref="Q16:R16"/>
  </mergeCells>
  <printOptions horizontalCentered="1" verticalCentered="1"/>
  <pageMargins left="0.25" right="0.25" top="0.6" bottom="0.25" header="0.38500000000000001" footer="0.1"/>
  <pageSetup scale="25" orientation="landscape" horizontalDpi="300" verticalDpi="300" r:id="rId1"/>
  <headerFooter alignWithMargins="0">
    <oddFooter>&amp;L&amp;F  &amp;A&amp;R&amp;D</oddFooter>
  </headerFooter>
  <rowBreaks count="1" manualBreakCount="1">
    <brk id="53" max="22" man="1"/>
  </rowBreaks>
  <colBreaks count="1" manualBreakCount="1">
    <brk id="9" max="1048575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>
    <tabColor rgb="FFFFFFCC"/>
    <pageSetUpPr fitToPage="1"/>
  </sheetPr>
  <dimension ref="A1:Y96"/>
  <sheetViews>
    <sheetView zoomScale="60" zoomScaleNormal="60" workbookViewId="0">
      <selection activeCell="I3" sqref="I3:I4"/>
    </sheetView>
  </sheetViews>
  <sheetFormatPr defaultColWidth="7.77734375" defaultRowHeight="26.25"/>
  <cols>
    <col min="1" max="1" width="6.77734375" style="22" customWidth="1"/>
    <col min="2" max="2" width="67.88671875" style="22" customWidth="1"/>
    <col min="3" max="3" width="16.5546875" style="22" customWidth="1"/>
    <col min="4" max="4" width="15.88671875" style="22" customWidth="1"/>
    <col min="5" max="5" width="16" style="22" customWidth="1"/>
    <col min="6" max="6" width="16.33203125" style="22" customWidth="1"/>
    <col min="7" max="7" width="17.88671875" style="22" bestFit="1" customWidth="1"/>
    <col min="8" max="8" width="16.21875" style="22" customWidth="1"/>
    <col min="9" max="9" width="17.77734375" style="22" customWidth="1"/>
    <col min="10" max="10" width="15.6640625" style="22" customWidth="1"/>
    <col min="11" max="11" width="16.21875" style="22" customWidth="1"/>
    <col min="12" max="12" width="14.6640625" style="22" customWidth="1"/>
    <col min="13" max="13" width="19.21875" style="22" customWidth="1"/>
    <col min="14" max="14" width="15.77734375" style="22" customWidth="1"/>
    <col min="15" max="15" width="4" style="15" customWidth="1"/>
    <col min="16" max="16" width="18.88671875" style="22" customWidth="1"/>
    <col min="17" max="17" width="4.6640625" style="22" customWidth="1"/>
    <col min="18" max="18" width="23.77734375" style="44" customWidth="1"/>
    <col min="19" max="19" width="1.77734375" style="44" customWidth="1"/>
    <col min="20" max="20" width="22.21875" style="44" customWidth="1"/>
    <col min="21" max="21" width="3.5546875" style="22" customWidth="1"/>
    <col min="22" max="22" width="19.5546875" style="22" customWidth="1"/>
    <col min="23" max="23" width="2.44140625" style="22" customWidth="1"/>
    <col min="24" max="16384" width="7.77734375" style="22"/>
  </cols>
  <sheetData>
    <row r="1" spans="1:22" s="5" customFormat="1" ht="39" customHeight="1">
      <c r="A1" s="1" t="s">
        <v>0</v>
      </c>
      <c r="B1" s="2"/>
      <c r="C1" s="795" t="s">
        <v>1</v>
      </c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3"/>
      <c r="R1" s="3"/>
      <c r="S1" s="4"/>
      <c r="T1" s="4"/>
    </row>
    <row r="2" spans="1:22" s="5" customFormat="1" ht="32.25" customHeight="1" thickBot="1">
      <c r="A2" s="6" t="s">
        <v>2</v>
      </c>
      <c r="B2" s="7" t="s">
        <v>74</v>
      </c>
      <c r="C2" s="796" t="s">
        <v>3</v>
      </c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796"/>
      <c r="O2" s="796"/>
      <c r="P2" s="796"/>
      <c r="Q2" s="8"/>
      <c r="R2" s="8"/>
      <c r="S2" s="4"/>
      <c r="T2" s="4"/>
    </row>
    <row r="3" spans="1:22" s="5" customFormat="1" ht="32.25" customHeight="1" thickBot="1">
      <c r="A3" s="9" t="s">
        <v>4</v>
      </c>
      <c r="B3" s="10"/>
      <c r="C3" s="11"/>
      <c r="D3" s="12" t="s">
        <v>5</v>
      </c>
      <c r="E3" s="13" t="s">
        <v>6</v>
      </c>
      <c r="F3" s="14" t="s">
        <v>7</v>
      </c>
      <c r="G3" s="15"/>
      <c r="H3" s="206"/>
      <c r="I3" s="205" t="s">
        <v>75</v>
      </c>
      <c r="J3" s="206"/>
      <c r="K3" s="16"/>
      <c r="L3" s="17"/>
      <c r="M3" s="17"/>
      <c r="N3" s="11"/>
      <c r="O3" s="11"/>
      <c r="P3" s="18"/>
      <c r="Q3" s="8"/>
      <c r="V3" s="19" t="s">
        <v>8</v>
      </c>
    </row>
    <row r="4" spans="1:22" s="5" customFormat="1" ht="27.75" customHeight="1" thickBot="1">
      <c r="A4" s="20" t="s">
        <v>9</v>
      </c>
      <c r="B4" s="21" t="s">
        <v>71</v>
      </c>
      <c r="C4" s="11"/>
      <c r="D4" s="11"/>
      <c r="E4" s="22"/>
      <c r="F4" s="22"/>
      <c r="G4" s="209"/>
      <c r="H4" s="208"/>
      <c r="I4" s="210" t="s">
        <v>76</v>
      </c>
      <c r="J4" s="208"/>
      <c r="K4" s="207"/>
      <c r="L4" s="17"/>
      <c r="M4" s="17"/>
      <c r="N4" s="11"/>
      <c r="O4" s="11"/>
      <c r="P4" s="11"/>
      <c r="Q4" s="8"/>
      <c r="R4" s="23" t="s">
        <v>10</v>
      </c>
      <c r="S4" s="4"/>
      <c r="T4" s="4"/>
      <c r="V4" s="24">
        <v>2015</v>
      </c>
    </row>
    <row r="5" spans="1:22" ht="30.75" customHeight="1" thickBot="1">
      <c r="A5" s="25" t="s">
        <v>11</v>
      </c>
      <c r="B5" s="26" t="s">
        <v>12</v>
      </c>
      <c r="C5" s="195" t="s">
        <v>8</v>
      </c>
      <c r="D5" s="185" t="s">
        <v>70</v>
      </c>
      <c r="E5" s="185" t="s">
        <v>69</v>
      </c>
      <c r="F5" s="27" t="s">
        <v>13</v>
      </c>
      <c r="G5" s="27" t="s">
        <v>13</v>
      </c>
      <c r="H5" s="27" t="s">
        <v>13</v>
      </c>
      <c r="I5" s="27" t="s">
        <v>13</v>
      </c>
      <c r="J5" s="27" t="s">
        <v>13</v>
      </c>
      <c r="K5" s="27" t="s">
        <v>13</v>
      </c>
      <c r="L5" s="27" t="s">
        <v>13</v>
      </c>
      <c r="M5" s="27" t="s">
        <v>13</v>
      </c>
      <c r="N5" s="28" t="s">
        <v>13</v>
      </c>
      <c r="O5" s="11"/>
      <c r="P5" s="29">
        <v>2017</v>
      </c>
      <c r="Q5" s="8"/>
      <c r="R5" s="30" t="s">
        <v>68</v>
      </c>
      <c r="S5" s="31"/>
      <c r="T5" s="32"/>
      <c r="U5" s="5"/>
      <c r="V5" s="33" t="s">
        <v>14</v>
      </c>
    </row>
    <row r="6" spans="1:22" s="5" customFormat="1" ht="52.5">
      <c r="A6" s="34" t="s">
        <v>15</v>
      </c>
      <c r="B6" s="34"/>
      <c r="C6" s="187" t="s">
        <v>16</v>
      </c>
      <c r="D6" s="35" t="s">
        <v>17</v>
      </c>
      <c r="E6" s="35" t="s">
        <v>18</v>
      </c>
      <c r="F6" s="35" t="s">
        <v>19</v>
      </c>
      <c r="G6" s="36" t="s">
        <v>20</v>
      </c>
      <c r="H6" s="36" t="s">
        <v>21</v>
      </c>
      <c r="I6" s="36" t="s">
        <v>22</v>
      </c>
      <c r="J6" s="37" t="s">
        <v>23</v>
      </c>
      <c r="K6" s="38" t="s">
        <v>24</v>
      </c>
      <c r="L6" s="37" t="s">
        <v>25</v>
      </c>
      <c r="M6" s="37" t="s">
        <v>26</v>
      </c>
      <c r="N6" s="37" t="s">
        <v>27</v>
      </c>
      <c r="O6" s="11"/>
      <c r="P6" s="39" t="s">
        <v>28</v>
      </c>
      <c r="Q6" s="8"/>
      <c r="R6" s="40" t="s">
        <v>29</v>
      </c>
      <c r="S6" s="41"/>
      <c r="T6" s="42" t="s">
        <v>30</v>
      </c>
      <c r="V6" s="43" t="s">
        <v>29</v>
      </c>
    </row>
    <row r="7" spans="1:22" s="44" customFormat="1" ht="34.5" customHeight="1">
      <c r="B7" s="45" t="s">
        <v>31</v>
      </c>
      <c r="C7" s="188">
        <v>0</v>
      </c>
      <c r="D7" s="46">
        <v>0</v>
      </c>
      <c r="E7" s="186">
        <v>2132</v>
      </c>
      <c r="F7" s="186">
        <v>7047</v>
      </c>
      <c r="G7" s="46">
        <v>5702.54</v>
      </c>
      <c r="H7" s="46">
        <v>9358.75</v>
      </c>
      <c r="I7" s="186">
        <v>49101</v>
      </c>
      <c r="J7" s="46">
        <v>30868</v>
      </c>
      <c r="K7" s="46">
        <v>3403</v>
      </c>
      <c r="L7" s="46">
        <v>1946</v>
      </c>
      <c r="M7" s="46">
        <v>0</v>
      </c>
      <c r="N7" s="47">
        <v>0</v>
      </c>
      <c r="O7" s="48"/>
      <c r="P7" s="49">
        <f t="shared" ref="P7:P12" si="0">SUM(C7:N7)</f>
        <v>109558.29000000001</v>
      </c>
      <c r="Q7" s="48"/>
      <c r="R7" s="50">
        <v>108366.23999999999</v>
      </c>
      <c r="S7" s="51"/>
      <c r="T7" s="51">
        <f t="shared" ref="T7:T12" si="1">+P7-R7</f>
        <v>1192.0500000000175</v>
      </c>
      <c r="V7" s="52">
        <f>108229.8+3125</f>
        <v>111354.8</v>
      </c>
    </row>
    <row r="8" spans="1:22" s="44" customFormat="1" ht="35.1" customHeight="1">
      <c r="B8" s="45" t="s">
        <v>32</v>
      </c>
      <c r="C8" s="189" t="e">
        <f>#REF!</f>
        <v>#REF!</v>
      </c>
      <c r="D8" s="183" t="e">
        <f>#REF!</f>
        <v>#REF!</v>
      </c>
      <c r="E8" s="186">
        <v>3849</v>
      </c>
      <c r="F8" s="186">
        <v>11758</v>
      </c>
      <c r="G8" s="46">
        <v>5068.24</v>
      </c>
      <c r="H8" s="46">
        <v>16698.05</v>
      </c>
      <c r="I8" s="186">
        <v>37398</v>
      </c>
      <c r="J8" s="46">
        <v>38025</v>
      </c>
      <c r="K8" s="46">
        <v>5619</v>
      </c>
      <c r="L8" s="46">
        <v>11802</v>
      </c>
      <c r="M8" s="186">
        <v>0</v>
      </c>
      <c r="N8" s="186">
        <v>0</v>
      </c>
      <c r="O8" s="48"/>
      <c r="P8" s="49" t="e">
        <f t="shared" si="0"/>
        <v>#REF!</v>
      </c>
      <c r="Q8" s="48"/>
      <c r="R8" s="50">
        <v>135624.07</v>
      </c>
      <c r="S8" s="51"/>
      <c r="T8" s="51" t="e">
        <f t="shared" si="1"/>
        <v>#REF!</v>
      </c>
      <c r="V8" s="52">
        <v>198250.86000000002</v>
      </c>
    </row>
    <row r="9" spans="1:22" s="44" customFormat="1" ht="35.1" customHeight="1">
      <c r="B9" s="45" t="s">
        <v>33</v>
      </c>
      <c r="C9" s="188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185</v>
      </c>
      <c r="M9" s="46">
        <v>0</v>
      </c>
      <c r="N9" s="47">
        <v>0</v>
      </c>
      <c r="O9" s="48"/>
      <c r="P9" s="49">
        <f t="shared" si="0"/>
        <v>185</v>
      </c>
      <c r="Q9" s="48"/>
      <c r="R9" s="53">
        <v>185</v>
      </c>
      <c r="S9" s="51"/>
      <c r="T9" s="51">
        <f t="shared" si="1"/>
        <v>0</v>
      </c>
      <c r="V9" s="52">
        <v>0</v>
      </c>
    </row>
    <row r="10" spans="1:22" s="44" customFormat="1" ht="34.5" customHeight="1">
      <c r="B10" s="4" t="s">
        <v>34</v>
      </c>
      <c r="C10" s="188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7">
        <v>0</v>
      </c>
      <c r="O10" s="48"/>
      <c r="P10" s="49">
        <f t="shared" si="0"/>
        <v>0</v>
      </c>
      <c r="Q10" s="48"/>
      <c r="R10" s="53">
        <v>0</v>
      </c>
      <c r="S10" s="51"/>
      <c r="T10" s="51">
        <f t="shared" si="1"/>
        <v>0</v>
      </c>
      <c r="V10" s="52">
        <v>0</v>
      </c>
    </row>
    <row r="11" spans="1:22" s="44" customFormat="1" ht="35.1" customHeight="1">
      <c r="B11" s="45" t="s">
        <v>35</v>
      </c>
      <c r="C11" s="188">
        <v>0</v>
      </c>
      <c r="D11" s="46">
        <v>0</v>
      </c>
      <c r="E11" s="46">
        <v>0</v>
      </c>
      <c r="F11" s="186">
        <v>2000</v>
      </c>
      <c r="G11" s="46">
        <v>0</v>
      </c>
      <c r="H11" s="46">
        <v>0</v>
      </c>
      <c r="I11" s="46">
        <v>600</v>
      </c>
      <c r="J11" s="46">
        <v>893.28</v>
      </c>
      <c r="K11" s="46">
        <v>360</v>
      </c>
      <c r="L11" s="46">
        <v>2000</v>
      </c>
      <c r="M11" s="46">
        <v>0</v>
      </c>
      <c r="N11" s="47">
        <v>0</v>
      </c>
      <c r="O11" s="48"/>
      <c r="P11" s="49">
        <f t="shared" si="0"/>
        <v>5853.28</v>
      </c>
      <c r="Q11" s="48"/>
      <c r="R11" s="50">
        <v>4903.28</v>
      </c>
      <c r="S11" s="51"/>
      <c r="T11" s="51">
        <f t="shared" si="1"/>
        <v>950</v>
      </c>
      <c r="V11" s="52">
        <v>6045</v>
      </c>
    </row>
    <row r="12" spans="1:22" s="44" customFormat="1" ht="35.1" customHeight="1">
      <c r="B12" s="45" t="s">
        <v>36</v>
      </c>
      <c r="C12" s="188">
        <v>0</v>
      </c>
      <c r="D12" s="46">
        <v>0</v>
      </c>
      <c r="E12" s="46">
        <v>0</v>
      </c>
      <c r="F12" s="46">
        <v>500</v>
      </c>
      <c r="G12" s="46">
        <v>0</v>
      </c>
      <c r="H12" s="46">
        <v>0</v>
      </c>
      <c r="I12" s="46">
        <v>0</v>
      </c>
      <c r="J12" s="46">
        <v>-103</v>
      </c>
      <c r="K12" s="46">
        <v>0</v>
      </c>
      <c r="L12" s="46">
        <v>500</v>
      </c>
      <c r="M12" s="46">
        <v>0</v>
      </c>
      <c r="N12" s="47">
        <v>0</v>
      </c>
      <c r="O12" s="48"/>
      <c r="P12" s="49">
        <f t="shared" si="0"/>
        <v>897</v>
      </c>
      <c r="Q12" s="54"/>
      <c r="R12" s="50">
        <v>858.79</v>
      </c>
      <c r="S12" s="51"/>
      <c r="T12" s="55">
        <f t="shared" si="1"/>
        <v>38.210000000000036</v>
      </c>
      <c r="V12" s="52">
        <f>3585.1-3125</f>
        <v>460.09999999999991</v>
      </c>
    </row>
    <row r="13" spans="1:22" ht="25.5" customHeight="1">
      <c r="B13" s="56"/>
      <c r="C13" s="190"/>
      <c r="D13" s="57"/>
      <c r="E13" s="57"/>
      <c r="F13" s="57"/>
      <c r="G13" s="57"/>
      <c r="H13" s="57"/>
      <c r="I13" s="57"/>
      <c r="J13" s="58"/>
      <c r="K13" s="58"/>
      <c r="L13" s="58"/>
      <c r="M13" s="58"/>
      <c r="N13" s="58"/>
      <c r="O13" s="58"/>
      <c r="P13" s="59"/>
      <c r="Q13" s="48"/>
      <c r="R13" s="60"/>
      <c r="S13" s="51"/>
      <c r="T13" s="51"/>
      <c r="V13" s="61"/>
    </row>
    <row r="14" spans="1:22" s="4" customFormat="1" ht="36" customHeight="1" thickBot="1">
      <c r="B14" s="62" t="s">
        <v>37</v>
      </c>
      <c r="C14" s="191" t="e">
        <f t="shared" ref="C14:J14" si="2">SUM(C7:C13)</f>
        <v>#REF!</v>
      </c>
      <c r="D14" s="63" t="e">
        <f t="shared" si="2"/>
        <v>#REF!</v>
      </c>
      <c r="E14" s="64">
        <f t="shared" si="2"/>
        <v>5981</v>
      </c>
      <c r="F14" s="64">
        <f t="shared" si="2"/>
        <v>21305</v>
      </c>
      <c r="G14" s="64">
        <f t="shared" si="2"/>
        <v>10770.779999999999</v>
      </c>
      <c r="H14" s="64">
        <f t="shared" si="2"/>
        <v>26056.799999999999</v>
      </c>
      <c r="I14" s="64">
        <f t="shared" si="2"/>
        <v>87099</v>
      </c>
      <c r="J14" s="65">
        <f t="shared" si="2"/>
        <v>69683.28</v>
      </c>
      <c r="K14" s="65">
        <f>SUM(K7:K12)</f>
        <v>9382</v>
      </c>
      <c r="L14" s="65">
        <f>SUM(L7:L12)</f>
        <v>16433</v>
      </c>
      <c r="M14" s="66">
        <f>SUM(M7:M12)</f>
        <v>0</v>
      </c>
      <c r="N14" s="67">
        <f>SUM(N7:N12)</f>
        <v>0</v>
      </c>
      <c r="O14" s="64"/>
      <c r="P14" s="68" t="e">
        <f>SUM(P7:P13)</f>
        <v>#REF!</v>
      </c>
      <c r="Q14" s="69"/>
      <c r="R14" s="70">
        <f>SUM(R7:R12)</f>
        <v>249937.38</v>
      </c>
      <c r="S14" s="71"/>
      <c r="T14" s="64" t="e">
        <f>SUM(T7:T13)</f>
        <v>#REF!</v>
      </c>
      <c r="V14" s="72">
        <f>SUM(V7:V12)</f>
        <v>316110.76</v>
      </c>
    </row>
    <row r="15" spans="1:22" s="44" customFormat="1" ht="31.5" customHeight="1" thickTop="1">
      <c r="B15" s="73" t="s">
        <v>73</v>
      </c>
      <c r="C15" s="74">
        <v>0</v>
      </c>
      <c r="D15" s="74">
        <v>0</v>
      </c>
      <c r="E15" s="74">
        <v>9743.15</v>
      </c>
      <c r="F15" s="74">
        <v>19580.3</v>
      </c>
      <c r="G15" s="74">
        <v>9047</v>
      </c>
      <c r="H15" s="74">
        <v>8321</v>
      </c>
      <c r="I15" s="74">
        <v>118191</v>
      </c>
      <c r="J15" s="74">
        <v>69778.75</v>
      </c>
      <c r="K15" s="74">
        <v>5924</v>
      </c>
      <c r="L15" s="74">
        <v>9382</v>
      </c>
      <c r="M15" s="74">
        <v>0</v>
      </c>
      <c r="N15" s="74">
        <v>6470</v>
      </c>
      <c r="O15" s="75"/>
      <c r="P15" s="76">
        <f>SUM(C15:N15)</f>
        <v>256437.2</v>
      </c>
      <c r="Q15" s="77"/>
      <c r="R15" s="78"/>
      <c r="S15" s="69"/>
      <c r="T15" s="79"/>
      <c r="V15" s="80"/>
    </row>
    <row r="16" spans="1:22" ht="30" customHeight="1">
      <c r="A16" s="44"/>
      <c r="B16" s="81" t="s">
        <v>38</v>
      </c>
      <c r="C16" s="82" t="e">
        <f>C14</f>
        <v>#REF!</v>
      </c>
      <c r="D16" s="82" t="e">
        <f>D14</f>
        <v>#REF!</v>
      </c>
      <c r="E16" s="82">
        <f>E14</f>
        <v>5981</v>
      </c>
      <c r="F16" s="82">
        <f t="shared" ref="F16:N16" si="3">F14</f>
        <v>21305</v>
      </c>
      <c r="G16" s="82">
        <f t="shared" si="3"/>
        <v>10770.779999999999</v>
      </c>
      <c r="H16" s="82">
        <v>27356</v>
      </c>
      <c r="I16" s="82">
        <v>96005.88</v>
      </c>
      <c r="J16" s="82">
        <f t="shared" si="3"/>
        <v>69683.28</v>
      </c>
      <c r="K16" s="82">
        <f t="shared" si="3"/>
        <v>9382</v>
      </c>
      <c r="L16" s="82">
        <f t="shared" si="3"/>
        <v>16433</v>
      </c>
      <c r="M16" s="82">
        <f t="shared" si="3"/>
        <v>0</v>
      </c>
      <c r="N16" s="82">
        <f t="shared" si="3"/>
        <v>0</v>
      </c>
      <c r="O16" s="83"/>
      <c r="P16" s="82" t="e">
        <f>SUM(C16:N16)</f>
        <v>#REF!</v>
      </c>
      <c r="Q16" s="77"/>
      <c r="R16" s="84" t="s">
        <v>39</v>
      </c>
      <c r="S16" s="85"/>
      <c r="T16" s="22"/>
    </row>
    <row r="17" spans="1:25" ht="29.25" customHeight="1">
      <c r="A17" s="86"/>
      <c r="B17" s="87"/>
      <c r="C17" s="192" t="s">
        <v>40</v>
      </c>
      <c r="D17" s="88" t="s">
        <v>40</v>
      </c>
      <c r="E17" s="88" t="s">
        <v>40</v>
      </c>
      <c r="F17" s="89"/>
      <c r="G17" s="89"/>
      <c r="H17" s="89"/>
      <c r="I17" s="89"/>
      <c r="J17" s="89"/>
      <c r="K17" s="89"/>
      <c r="L17" s="89"/>
      <c r="M17" s="89"/>
      <c r="N17" s="90"/>
      <c r="O17" s="91"/>
      <c r="P17" s="92" t="e">
        <f>+(P7+P8)/P19</f>
        <v>#REF!</v>
      </c>
      <c r="Q17" s="93"/>
      <c r="R17" s="94">
        <f>+(R7+R8)/R19</f>
        <v>36.492717618905175</v>
      </c>
      <c r="S17" s="95"/>
      <c r="T17" s="92" t="e">
        <f>+P17-R17</f>
        <v>#REF!</v>
      </c>
      <c r="V17" s="96">
        <f>+(V7+V8)/V19</f>
        <v>48.787529152221879</v>
      </c>
    </row>
    <row r="18" spans="1:25" ht="24" customHeight="1">
      <c r="A18" s="86"/>
      <c r="B18" s="86"/>
      <c r="C18" s="193">
        <v>750</v>
      </c>
      <c r="D18" s="97"/>
      <c r="E18" s="98"/>
      <c r="F18" s="99"/>
      <c r="G18" s="99"/>
      <c r="H18" s="99"/>
      <c r="I18" s="99"/>
      <c r="J18" s="99"/>
      <c r="K18" s="99"/>
      <c r="L18" s="99"/>
      <c r="M18" s="99"/>
      <c r="N18" s="90"/>
      <c r="O18" s="58"/>
      <c r="P18" s="100"/>
      <c r="Q18" s="101"/>
      <c r="R18" s="102"/>
      <c r="S18" s="85"/>
      <c r="T18" s="103"/>
      <c r="V18" s="104"/>
    </row>
    <row r="19" spans="1:25" s="105" customFormat="1" ht="27" customHeight="1">
      <c r="B19" s="106" t="s">
        <v>41</v>
      </c>
      <c r="C19" s="194">
        <v>957</v>
      </c>
      <c r="D19" s="107">
        <v>1036</v>
      </c>
      <c r="E19" s="107">
        <v>115</v>
      </c>
      <c r="F19" s="107">
        <v>280</v>
      </c>
      <c r="G19" s="107">
        <v>296</v>
      </c>
      <c r="H19" s="107">
        <v>561</v>
      </c>
      <c r="I19" s="107">
        <v>1607</v>
      </c>
      <c r="J19" s="107">
        <v>1026</v>
      </c>
      <c r="K19" s="107">
        <v>217</v>
      </c>
      <c r="L19" s="107">
        <v>740</v>
      </c>
      <c r="M19" s="183">
        <v>0</v>
      </c>
      <c r="N19" s="183">
        <v>0</v>
      </c>
      <c r="O19" s="101"/>
      <c r="P19" s="49">
        <f>SUM(C19:N19)</f>
        <v>6835</v>
      </c>
      <c r="Q19" s="101"/>
      <c r="R19" s="50">
        <v>6686</v>
      </c>
      <c r="S19" s="108"/>
      <c r="T19" s="109">
        <f>+P19-R19</f>
        <v>149</v>
      </c>
      <c r="V19" s="110">
        <v>6346</v>
      </c>
    </row>
    <row r="20" spans="1:25" s="105" customFormat="1" ht="31.5" customHeight="1">
      <c r="A20" s="111"/>
      <c r="B20" s="112" t="s">
        <v>72</v>
      </c>
      <c r="C20" s="113">
        <v>0</v>
      </c>
      <c r="D20" s="113">
        <v>0</v>
      </c>
      <c r="E20" s="113">
        <v>158</v>
      </c>
      <c r="F20" s="113">
        <v>440</v>
      </c>
      <c r="G20" s="113">
        <v>205</v>
      </c>
      <c r="H20" s="113">
        <v>130</v>
      </c>
      <c r="I20" s="113">
        <v>1813</v>
      </c>
      <c r="J20" s="113">
        <v>1050</v>
      </c>
      <c r="K20" s="113">
        <v>71</v>
      </c>
      <c r="L20" s="113">
        <v>150</v>
      </c>
      <c r="M20" s="113">
        <v>3</v>
      </c>
      <c r="N20" s="113">
        <v>80</v>
      </c>
      <c r="O20" s="114"/>
      <c r="P20" s="115">
        <f>SUM(C20:N20)</f>
        <v>4100</v>
      </c>
      <c r="Q20" s="116"/>
      <c r="R20" s="117"/>
      <c r="S20" s="118"/>
      <c r="T20" s="51"/>
    </row>
    <row r="21" spans="1:25" s="5" customFormat="1" ht="52.5">
      <c r="A21" s="119" t="s">
        <v>42</v>
      </c>
      <c r="B21" s="119"/>
      <c r="C21" s="120"/>
      <c r="D21" s="120"/>
      <c r="E21" s="120"/>
      <c r="F21" s="121"/>
      <c r="G21" s="121"/>
      <c r="H21" s="121"/>
      <c r="I21" s="121"/>
      <c r="J21" s="121"/>
      <c r="K21" s="121"/>
      <c r="L21" s="121"/>
      <c r="M21" s="121"/>
      <c r="N21" s="122"/>
      <c r="O21" s="56"/>
      <c r="P21" s="123" t="s">
        <v>43</v>
      </c>
      <c r="Q21" s="124"/>
      <c r="R21" s="40" t="s">
        <v>44</v>
      </c>
      <c r="S21" s="125"/>
      <c r="T21" s="42" t="s">
        <v>30</v>
      </c>
      <c r="V21" s="126" t="s">
        <v>43</v>
      </c>
    </row>
    <row r="22" spans="1:25" s="127" customFormat="1" ht="27" customHeight="1">
      <c r="B22" s="128" t="s">
        <v>45</v>
      </c>
      <c r="C22" s="196" t="e">
        <f t="shared" ref="C22:N22" si="4">IF((+C$7+C$8)=0," ",C23/(+C$7+C$8))</f>
        <v>#REF!</v>
      </c>
      <c r="D22" s="129" t="e">
        <f t="shared" si="4"/>
        <v>#REF!</v>
      </c>
      <c r="E22" s="129">
        <f t="shared" si="4"/>
        <v>0.81588530346095978</v>
      </c>
      <c r="F22" s="129">
        <f t="shared" si="4"/>
        <v>0.25949534698218563</v>
      </c>
      <c r="G22" s="129">
        <f t="shared" si="4"/>
        <v>0.4530600383630527</v>
      </c>
      <c r="H22" s="129">
        <f t="shared" si="4"/>
        <v>0.18727587424395936</v>
      </c>
      <c r="I22" s="129">
        <f t="shared" si="4"/>
        <v>5.641464063168361E-2</v>
      </c>
      <c r="J22" s="129">
        <f t="shared" si="4"/>
        <v>7.0831724558373138E-2</v>
      </c>
      <c r="K22" s="130">
        <f t="shared" si="4"/>
        <v>0.54087896253602308</v>
      </c>
      <c r="L22" s="130" t="e">
        <f t="shared" si="4"/>
        <v>#REF!</v>
      </c>
      <c r="M22" s="130" t="str">
        <f t="shared" si="4"/>
        <v xml:space="preserve"> </v>
      </c>
      <c r="N22" s="130" t="str">
        <f t="shared" si="4"/>
        <v xml:space="preserve"> </v>
      </c>
      <c r="O22" s="124"/>
      <c r="P22" s="131" t="e">
        <f>IF((+P$7+P$8)=0," ",P23/(+P$7+P$8))</f>
        <v>#REF!</v>
      </c>
      <c r="Q22" s="132"/>
      <c r="R22" s="133">
        <f>IF((+R$7+R$8)=0," ",R23/(+R$7+R$8))</f>
        <v>0.24</v>
      </c>
      <c r="S22" s="124"/>
      <c r="T22" s="134"/>
      <c r="V22" s="135">
        <f>IF((+V$7+V$8)=0," ",V23/(+V$7+V$8))</f>
        <v>0.24000000516786421</v>
      </c>
    </row>
    <row r="23" spans="1:25" s="4" customFormat="1" ht="35.1" customHeight="1">
      <c r="B23" s="45" t="s">
        <v>46</v>
      </c>
      <c r="C23" s="197" t="e">
        <f>#REF!</f>
        <v>#REF!</v>
      </c>
      <c r="D23" s="136" t="e">
        <f>#REF!</f>
        <v>#REF!</v>
      </c>
      <c r="E23" s="136">
        <v>4879.8100000000004</v>
      </c>
      <c r="F23" s="136">
        <v>4879.8100000000004</v>
      </c>
      <c r="G23" s="136">
        <v>4879.8100000000004</v>
      </c>
      <c r="H23" s="136">
        <v>4879.8100000000004</v>
      </c>
      <c r="I23" s="136">
        <v>4879.8100000000004</v>
      </c>
      <c r="J23" s="136">
        <v>4879.8100000000004</v>
      </c>
      <c r="K23" s="136">
        <v>4879.8100000000004</v>
      </c>
      <c r="L23" s="137" t="e">
        <f>SUM((((+$P$7+$P$8)*0.24)-SUM($C$23:K23))/3)</f>
        <v>#REF!</v>
      </c>
      <c r="M23" s="137" t="e">
        <f>SUM((((+$P$7+$P$8)*0.24)-SUM($C$23:L23))/2)</f>
        <v>#REF!</v>
      </c>
      <c r="N23" s="137" t="e">
        <f>SUM((((+$P$7+$P$8)*0.24)-SUM($C$23:M23))/1)</f>
        <v>#REF!</v>
      </c>
      <c r="O23" s="138"/>
      <c r="P23" s="139" t="e">
        <f>(P7+P8)*24%</f>
        <v>#REF!</v>
      </c>
      <c r="Q23" s="132"/>
      <c r="R23" s="53">
        <v>58557.674399999996</v>
      </c>
      <c r="S23" s="85"/>
      <c r="T23" s="85" t="e">
        <f>+P23-R23</f>
        <v>#REF!</v>
      </c>
      <c r="V23" s="140">
        <v>74305.360000000015</v>
      </c>
    </row>
    <row r="24" spans="1:25" s="127" customFormat="1" ht="27" customHeight="1">
      <c r="B24" s="124"/>
      <c r="C24" s="198" t="e">
        <f t="shared" ref="C24:N24" si="5">IF((+C$7+C$8)=0," ",(+C25+C26)/(+C$7+C$8))</f>
        <v>#REF!</v>
      </c>
      <c r="D24" s="141" t="e">
        <f t="shared" si="5"/>
        <v>#REF!</v>
      </c>
      <c r="E24" s="141">
        <f t="shared" si="5"/>
        <v>0.87515458613465635</v>
      </c>
      <c r="F24" s="141">
        <f t="shared" si="5"/>
        <v>0.29297115464390311</v>
      </c>
      <c r="G24" s="141">
        <f t="shared" si="5"/>
        <v>0.6055582808239085</v>
      </c>
      <c r="H24" s="141">
        <f t="shared" si="5"/>
        <v>0.24294374185974468</v>
      </c>
      <c r="I24" s="141">
        <f t="shared" si="5"/>
        <v>0.14004002417009839</v>
      </c>
      <c r="J24" s="141">
        <f t="shared" si="5"/>
        <v>0.1934203059920884</v>
      </c>
      <c r="K24" s="141">
        <f t="shared" si="5"/>
        <v>0.56842469664204431</v>
      </c>
      <c r="L24" s="141">
        <f t="shared" si="5"/>
        <v>0.36967809964873999</v>
      </c>
      <c r="M24" s="141" t="str">
        <f t="shared" si="5"/>
        <v xml:space="preserve"> </v>
      </c>
      <c r="N24" s="141" t="str">
        <f t="shared" si="5"/>
        <v xml:space="preserve"> </v>
      </c>
      <c r="O24" s="124"/>
      <c r="P24" s="141" t="e">
        <f>IF((+P$7+P$8)=0," ",(+P25+P26)/(+P$7+P$8))</f>
        <v>#REF!</v>
      </c>
      <c r="Q24" s="132"/>
      <c r="R24" s="142">
        <f>IF((+R$7+R$8)=0," ",(+R25+R26)/(+R$7+R$8))</f>
        <v>0.30349233042727908</v>
      </c>
      <c r="S24" s="124"/>
      <c r="T24" s="134"/>
      <c r="U24" s="143"/>
      <c r="V24" s="144">
        <f>IF((+V$7+V$8)=0," ",(+V25+V26)/(+V$7+V$8))</f>
        <v>0.24506526598046471</v>
      </c>
    </row>
    <row r="25" spans="1:25" s="44" customFormat="1" ht="34.5" customHeight="1">
      <c r="B25" s="45" t="s">
        <v>47</v>
      </c>
      <c r="C25" s="199" t="e">
        <f>#REF!</f>
        <v>#REF!</v>
      </c>
      <c r="D25" s="184" t="e">
        <f>#REF!</f>
        <v>#REF!</v>
      </c>
      <c r="E25" s="186">
        <v>5234</v>
      </c>
      <c r="F25" s="186">
        <v>5509</v>
      </c>
      <c r="G25" s="145">
        <v>6522</v>
      </c>
      <c r="H25" s="145">
        <v>6330</v>
      </c>
      <c r="I25" s="145">
        <v>12113</v>
      </c>
      <c r="J25" s="145">
        <v>13325</v>
      </c>
      <c r="K25" s="145">
        <v>5128</v>
      </c>
      <c r="L25" s="145">
        <v>5082</v>
      </c>
      <c r="M25" s="145">
        <v>4185</v>
      </c>
      <c r="N25" s="186">
        <v>4610</v>
      </c>
      <c r="O25" s="48"/>
      <c r="P25" s="139" t="e">
        <f t="shared" ref="P25:P53" si="6">SUM(C25:N25)</f>
        <v>#REF!</v>
      </c>
      <c r="Q25" s="132"/>
      <c r="R25" s="53">
        <v>74048.86</v>
      </c>
      <c r="S25" s="51"/>
      <c r="T25" s="85" t="e">
        <f>+P25-R25</f>
        <v>#REF!</v>
      </c>
      <c r="U25" s="143"/>
      <c r="V25" s="146">
        <v>75873.349999999991</v>
      </c>
    </row>
    <row r="26" spans="1:25" s="127" customFormat="1" ht="27" customHeight="1">
      <c r="B26" s="124"/>
      <c r="C26" s="198" t="e">
        <f t="shared" ref="C26:P26" si="7">IF(+C$25=0," ",C27/+C$25)</f>
        <v>#REF!</v>
      </c>
      <c r="D26" s="141" t="e">
        <f t="shared" si="7"/>
        <v>#REF!</v>
      </c>
      <c r="E26" s="141">
        <f t="shared" si="7"/>
        <v>0.29957967137944214</v>
      </c>
      <c r="F26" s="141">
        <f t="shared" si="7"/>
        <v>0.32256307859865674</v>
      </c>
      <c r="G26" s="141">
        <f t="shared" si="7"/>
        <v>0.33501993253603191</v>
      </c>
      <c r="H26" s="141">
        <f t="shared" si="7"/>
        <v>0.33649289099526064</v>
      </c>
      <c r="I26" s="141">
        <f t="shared" si="7"/>
        <v>0.32205068934202924</v>
      </c>
      <c r="J26" s="141">
        <f t="shared" si="7"/>
        <v>0.30514071294559098</v>
      </c>
      <c r="K26" s="141">
        <f t="shared" si="7"/>
        <v>0.32761310452418096</v>
      </c>
      <c r="L26" s="141">
        <f t="shared" si="7"/>
        <v>0.33451397087760726</v>
      </c>
      <c r="M26" s="141">
        <f t="shared" si="7"/>
        <v>0.33524492234169656</v>
      </c>
      <c r="N26" s="141">
        <f t="shared" si="7"/>
        <v>0.31670281995661603</v>
      </c>
      <c r="O26" s="147"/>
      <c r="P26" s="141" t="e">
        <f t="shared" si="7"/>
        <v>#REF!</v>
      </c>
      <c r="Q26" s="132"/>
      <c r="R26" s="142">
        <f>IF(+R$25=0," ",R27/+R$25)</f>
        <v>0.32778357425083926</v>
      </c>
      <c r="S26" s="124"/>
      <c r="T26" s="134"/>
      <c r="U26" s="143"/>
      <c r="V26" s="144">
        <f>IF(+V$25=0," ",V27/+V$25)</f>
        <v>0.24341695733745775</v>
      </c>
    </row>
    <row r="27" spans="1:25" s="44" customFormat="1" ht="35.1" customHeight="1">
      <c r="B27" s="45" t="s">
        <v>48</v>
      </c>
      <c r="C27" s="199" t="e">
        <f>#REF!</f>
        <v>#REF!</v>
      </c>
      <c r="D27" s="184" t="e">
        <f>#REF!</f>
        <v>#REF!</v>
      </c>
      <c r="E27" s="145">
        <v>1568</v>
      </c>
      <c r="F27" s="145">
        <v>1777</v>
      </c>
      <c r="G27" s="145">
        <v>2185</v>
      </c>
      <c r="H27" s="145">
        <v>2130</v>
      </c>
      <c r="I27" s="145">
        <v>3901</v>
      </c>
      <c r="J27" s="186">
        <v>4066</v>
      </c>
      <c r="K27" s="145">
        <v>1680</v>
      </c>
      <c r="L27" s="145">
        <v>1700</v>
      </c>
      <c r="M27" s="145">
        <v>1403</v>
      </c>
      <c r="N27" s="186">
        <v>1460</v>
      </c>
      <c r="O27" s="48"/>
      <c r="P27" s="139" t="e">
        <f t="shared" si="6"/>
        <v>#REF!</v>
      </c>
      <c r="Q27" s="132"/>
      <c r="R27" s="53">
        <v>24272</v>
      </c>
      <c r="S27" s="51"/>
      <c r="T27" s="85" t="e">
        <f>+P27-R27</f>
        <v>#REF!</v>
      </c>
      <c r="U27" s="143"/>
      <c r="V27" s="146">
        <v>18468.859999999997</v>
      </c>
    </row>
    <row r="28" spans="1:25" s="127" customFormat="1" ht="27" customHeight="1">
      <c r="B28" s="124"/>
      <c r="C28" s="198" t="e">
        <f t="shared" ref="C28:N28" si="8">IF((+C$7+C$8)=0," ",C29/(+C$7+C$8))</f>
        <v>#REF!</v>
      </c>
      <c r="D28" s="141" t="e">
        <f t="shared" si="8"/>
        <v>#REF!</v>
      </c>
      <c r="E28" s="141">
        <f t="shared" si="8"/>
        <v>2.9127236248119043E-2</v>
      </c>
      <c r="F28" s="141">
        <f t="shared" si="8"/>
        <v>5.2783834086679079E-3</v>
      </c>
      <c r="G28" s="141">
        <f t="shared" si="8"/>
        <v>2.9524324143655339E-2</v>
      </c>
      <c r="H28" s="141">
        <f t="shared" si="8"/>
        <v>2.54021982745387E-3</v>
      </c>
      <c r="I28" s="141">
        <f t="shared" si="8"/>
        <v>0</v>
      </c>
      <c r="J28" s="141">
        <f t="shared" si="8"/>
        <v>0</v>
      </c>
      <c r="K28" s="141">
        <f t="shared" si="8"/>
        <v>8.8672134781644864E-4</v>
      </c>
      <c r="L28" s="141">
        <f t="shared" si="8"/>
        <v>0</v>
      </c>
      <c r="M28" s="141" t="str">
        <f t="shared" si="8"/>
        <v xml:space="preserve"> </v>
      </c>
      <c r="N28" s="141" t="str">
        <f t="shared" si="8"/>
        <v xml:space="preserve"> </v>
      </c>
      <c r="O28" s="124"/>
      <c r="P28" s="141" t="e">
        <f>IF((+P$7+P$8)=0," ",P29/(+P$7+P$8))</f>
        <v>#REF!</v>
      </c>
      <c r="Q28" s="132"/>
      <c r="R28" s="142">
        <f>IF((+R$7+R$8)=0," ",R29/(+R$7+R$8))</f>
        <v>3.3225089963613724E-3</v>
      </c>
      <c r="S28" s="124"/>
      <c r="T28" s="134"/>
      <c r="U28" s="143"/>
      <c r="V28" s="144">
        <f>IF((+V$7+V$8)=0," ",V29/(+V$7+V$8))</f>
        <v>4.8047894214853816E-3</v>
      </c>
    </row>
    <row r="29" spans="1:25" s="44" customFormat="1" ht="35.1" customHeight="1">
      <c r="B29" s="45" t="s">
        <v>49</v>
      </c>
      <c r="C29" s="199" t="e">
        <f>#REF!</f>
        <v>#REF!</v>
      </c>
      <c r="D29" s="184" t="e">
        <f>#REF!</f>
        <v>#REF!</v>
      </c>
      <c r="E29" s="145">
        <v>174.21</v>
      </c>
      <c r="F29" s="145">
        <v>99.26</v>
      </c>
      <c r="G29" s="145">
        <v>318</v>
      </c>
      <c r="H29" s="145">
        <v>66.19</v>
      </c>
      <c r="I29" s="145">
        <v>0</v>
      </c>
      <c r="J29" s="145">
        <v>0</v>
      </c>
      <c r="K29" s="145">
        <v>8</v>
      </c>
      <c r="L29" s="145">
        <v>0</v>
      </c>
      <c r="M29" s="145">
        <v>0</v>
      </c>
      <c r="N29" s="145">
        <v>145</v>
      </c>
      <c r="O29" s="48"/>
      <c r="P29" s="139" t="e">
        <f t="shared" si="6"/>
        <v>#REF!</v>
      </c>
      <c r="Q29" s="132"/>
      <c r="R29" s="53">
        <v>810.66000000000008</v>
      </c>
      <c r="S29" s="51"/>
      <c r="T29" s="85" t="e">
        <f>+P29-R29</f>
        <v>#REF!</v>
      </c>
      <c r="U29" s="143"/>
      <c r="V29" s="146">
        <v>1487.59</v>
      </c>
      <c r="X29" s="127"/>
      <c r="Y29" s="127"/>
    </row>
    <row r="30" spans="1:25" s="127" customFormat="1" ht="27" customHeight="1">
      <c r="B30" s="124"/>
      <c r="C30" s="198" t="str">
        <f t="shared" ref="C30:N30" si="9">IF(+C$7=0," ",C31/+C$7)</f>
        <v xml:space="preserve"> </v>
      </c>
      <c r="D30" s="141" t="str">
        <f t="shared" si="9"/>
        <v xml:space="preserve"> </v>
      </c>
      <c r="E30" s="141">
        <f t="shared" si="9"/>
        <v>0.60272045028142585</v>
      </c>
      <c r="F30" s="141">
        <f t="shared" si="9"/>
        <v>0.19100326380019866</v>
      </c>
      <c r="G30" s="141">
        <f t="shared" si="9"/>
        <v>0.24638143704384363</v>
      </c>
      <c r="H30" s="141">
        <f t="shared" si="9"/>
        <v>0.2222519032990517</v>
      </c>
      <c r="I30" s="141">
        <f t="shared" si="9"/>
        <v>0.17266450785116394</v>
      </c>
      <c r="J30" s="141">
        <f t="shared" si="9"/>
        <v>0.13353634832188674</v>
      </c>
      <c r="K30" s="141">
        <f t="shared" si="9"/>
        <v>0.20099911842491919</v>
      </c>
      <c r="L30" s="141">
        <f t="shared" si="9"/>
        <v>0.31808838643371018</v>
      </c>
      <c r="M30" s="141" t="str">
        <f t="shared" si="9"/>
        <v xml:space="preserve"> </v>
      </c>
      <c r="N30" s="141" t="str">
        <f t="shared" si="9"/>
        <v xml:space="preserve"> </v>
      </c>
      <c r="O30" s="124"/>
      <c r="P30" s="141" t="e">
        <f>IF(+P$7=0," ",P31/+P$7)</f>
        <v>#REF!</v>
      </c>
      <c r="Q30" s="132"/>
      <c r="R30" s="142">
        <f>IF(+R$7=0," ",R31/+R$7)</f>
        <v>0.17897908056974204</v>
      </c>
      <c r="S30" s="124"/>
      <c r="T30" s="134"/>
      <c r="U30" s="143"/>
      <c r="V30" s="144">
        <f>IF(+V$7=0," ",V31/+V$7)</f>
        <v>0.21054323657354693</v>
      </c>
    </row>
    <row r="31" spans="1:25" s="44" customFormat="1" ht="35.1" customHeight="1">
      <c r="B31" s="45" t="s">
        <v>50</v>
      </c>
      <c r="C31" s="199" t="e">
        <f>#REF!</f>
        <v>#REF!</v>
      </c>
      <c r="D31" s="184" t="e">
        <f>#REF!</f>
        <v>#REF!</v>
      </c>
      <c r="E31" s="145">
        <v>1285</v>
      </c>
      <c r="F31" s="186">
        <v>1346</v>
      </c>
      <c r="G31" s="145">
        <v>1405</v>
      </c>
      <c r="H31" s="145">
        <v>2080</v>
      </c>
      <c r="I31" s="186">
        <v>8478</v>
      </c>
      <c r="J31" s="145">
        <v>4122</v>
      </c>
      <c r="K31" s="145">
        <v>684</v>
      </c>
      <c r="L31" s="145">
        <v>619</v>
      </c>
      <c r="M31" s="145">
        <v>0</v>
      </c>
      <c r="N31" s="145">
        <v>0</v>
      </c>
      <c r="O31" s="48"/>
      <c r="P31" s="139" t="e">
        <f t="shared" si="6"/>
        <v>#REF!</v>
      </c>
      <c r="Q31" s="132"/>
      <c r="R31" s="53">
        <v>19395.29</v>
      </c>
      <c r="S31" s="51"/>
      <c r="T31" s="85" t="e">
        <f>+P31-R31</f>
        <v>#REF!</v>
      </c>
      <c r="U31" s="143"/>
      <c r="V31" s="146">
        <v>23445.000000000004</v>
      </c>
    </row>
    <row r="32" spans="1:25" s="127" customFormat="1" ht="27" customHeight="1">
      <c r="B32" s="124"/>
      <c r="C32" s="198" t="e">
        <f t="shared" ref="C32:N32" si="10">IF((+C$7+C$8)=0," ",C33/(+C$7+C$8))</f>
        <v>#REF!</v>
      </c>
      <c r="D32" s="141" t="e">
        <f t="shared" si="10"/>
        <v>#REF!</v>
      </c>
      <c r="E32" s="141">
        <f t="shared" si="10"/>
        <v>0</v>
      </c>
      <c r="F32" s="141">
        <f t="shared" si="10"/>
        <v>3.5097048657272002E-3</v>
      </c>
      <c r="G32" s="141">
        <f t="shared" si="10"/>
        <v>1.8282798460278644E-2</v>
      </c>
      <c r="H32" s="141">
        <f t="shared" si="10"/>
        <v>1.7653741057996378E-3</v>
      </c>
      <c r="I32" s="141">
        <f t="shared" si="10"/>
        <v>1.1422097365287459E-3</v>
      </c>
      <c r="J32" s="141">
        <f t="shared" si="10"/>
        <v>2.7869304573759309E-3</v>
      </c>
      <c r="K32" s="141">
        <f t="shared" si="10"/>
        <v>1.9951230325870096E-3</v>
      </c>
      <c r="L32" s="141">
        <f t="shared" si="10"/>
        <v>5.1643875472796039E-3</v>
      </c>
      <c r="M32" s="141" t="str">
        <f t="shared" si="10"/>
        <v xml:space="preserve"> </v>
      </c>
      <c r="N32" s="141" t="str">
        <f t="shared" si="10"/>
        <v xml:space="preserve"> </v>
      </c>
      <c r="O32" s="124"/>
      <c r="P32" s="141" t="e">
        <f>IF((+P$7+P$8)=0," ",P33/(+P$7+P$8))</f>
        <v>#REF!</v>
      </c>
      <c r="Q32" s="132"/>
      <c r="R32" s="142">
        <f>IF((+R$7+R$8)=0," ",R33/(+R$7+R$8))</f>
        <v>2.5930947831493802E-3</v>
      </c>
      <c r="S32" s="124"/>
      <c r="T32" s="134"/>
      <c r="U32" s="143"/>
      <c r="V32" s="144">
        <f>IF((+V$7+V$8)=0," ",V33/(+V$7+V$8))</f>
        <v>2.9008190612535957E-3</v>
      </c>
    </row>
    <row r="33" spans="2:22" s="44" customFormat="1" ht="35.1" customHeight="1">
      <c r="B33" s="45" t="s">
        <v>51</v>
      </c>
      <c r="C33" s="199" t="e">
        <f>#REF!</f>
        <v>#REF!</v>
      </c>
      <c r="D33" s="184" t="e">
        <f>#REF!</f>
        <v>#REF!</v>
      </c>
      <c r="E33" s="145">
        <v>0</v>
      </c>
      <c r="F33" s="186">
        <v>66</v>
      </c>
      <c r="G33" s="145">
        <v>196.92</v>
      </c>
      <c r="H33" s="145">
        <v>46</v>
      </c>
      <c r="I33" s="145">
        <v>98.8</v>
      </c>
      <c r="J33" s="145">
        <v>192</v>
      </c>
      <c r="K33" s="145">
        <v>18</v>
      </c>
      <c r="L33" s="145">
        <v>71</v>
      </c>
      <c r="M33" s="145">
        <v>0</v>
      </c>
      <c r="N33" s="145">
        <v>0</v>
      </c>
      <c r="O33" s="48"/>
      <c r="P33" s="139" t="e">
        <f t="shared" si="6"/>
        <v>#REF!</v>
      </c>
      <c r="Q33" s="132"/>
      <c r="R33" s="53">
        <v>632.69000000000005</v>
      </c>
      <c r="S33" s="51"/>
      <c r="T33" s="85" t="e">
        <f>+P33-R33</f>
        <v>#REF!</v>
      </c>
      <c r="U33" s="143"/>
      <c r="V33" s="146">
        <v>898.11</v>
      </c>
    </row>
    <row r="34" spans="2:22" s="127" customFormat="1" ht="27" customHeight="1">
      <c r="B34" s="148"/>
      <c r="C34" s="198" t="e">
        <f>IF((+C$7+C$8)=0," ",C35/(+C$7+C$8))</f>
        <v>#REF!</v>
      </c>
      <c r="D34" s="141" t="e">
        <f>IF((+D$7+D$8)=0," ",D35/(+D$7+D$8))</f>
        <v>#REF!</v>
      </c>
      <c r="E34" s="141">
        <f>IF((+E$7+E$8)=0," ",E35/(+E$7+E$8))</f>
        <v>0.21038287911720446</v>
      </c>
      <c r="F34" s="141">
        <f>IF((+F$7+F$8)=0," ",F35/(+F$7+F$8))</f>
        <v>4.770592927412922E-2</v>
      </c>
      <c r="G34" s="141">
        <f>IF((+G$7+G$8)=0," ",G35/(+G$7+G$8))</f>
        <v>9.6096104460401205E-2</v>
      </c>
      <c r="H34" s="141">
        <f>IF((N37+H$7+H$8)=0," ",H35/(+H$7+H$8))</f>
        <v>8.6388198090325746E-2</v>
      </c>
      <c r="I34" s="141">
        <f t="shared" ref="I34:N34" si="11">IF((+I$7+I$8)=0," ",I35/(+I$7+I$8))</f>
        <v>3.0566827362166038E-2</v>
      </c>
      <c r="J34" s="141">
        <f t="shared" si="11"/>
        <v>4.5839199918714525E-2</v>
      </c>
      <c r="K34" s="141">
        <f t="shared" si="11"/>
        <v>0.13688760806916425</v>
      </c>
      <c r="L34" s="141">
        <f t="shared" si="11"/>
        <v>0.11710794297352342</v>
      </c>
      <c r="M34" s="141" t="str">
        <f t="shared" si="11"/>
        <v xml:space="preserve"> </v>
      </c>
      <c r="N34" s="141" t="str">
        <f t="shared" si="11"/>
        <v xml:space="preserve"> </v>
      </c>
      <c r="O34" s="124"/>
      <c r="P34" s="141" t="e">
        <f>IF((+P$7+P$8)=0," ",P35/(+P$7+P$8))</f>
        <v>#REF!</v>
      </c>
      <c r="Q34" s="132"/>
      <c r="R34" s="142">
        <f>IF((+R$7+R$8)=0," ",R35/(+R$7+R$8))</f>
        <v>8.7413471461223205E-2</v>
      </c>
      <c r="S34" s="124"/>
      <c r="T34" s="134"/>
      <c r="U34" s="143"/>
      <c r="V34" s="144">
        <f>IF((+V$7+V$8)=0," ",V35/(+V$7+V$8))</f>
        <v>7.107257018492491E-2</v>
      </c>
    </row>
    <row r="35" spans="2:22" s="44" customFormat="1" ht="35.1" customHeight="1">
      <c r="B35" s="149" t="s">
        <v>52</v>
      </c>
      <c r="C35" s="199" t="e">
        <f>#REF!</f>
        <v>#REF!</v>
      </c>
      <c r="D35" s="184" t="e">
        <f>#REF!</f>
        <v>#REF!</v>
      </c>
      <c r="E35" s="145">
        <v>1258.3</v>
      </c>
      <c r="F35" s="145">
        <v>897.11</v>
      </c>
      <c r="G35" s="145">
        <v>1035.03</v>
      </c>
      <c r="H35" s="145">
        <v>2251</v>
      </c>
      <c r="I35" s="145">
        <v>2644</v>
      </c>
      <c r="J35" s="145">
        <v>3158</v>
      </c>
      <c r="K35" s="145">
        <v>1235</v>
      </c>
      <c r="L35" s="145">
        <v>1610</v>
      </c>
      <c r="M35" s="145">
        <v>1368</v>
      </c>
      <c r="N35" s="145">
        <v>1285</v>
      </c>
      <c r="O35" s="48"/>
      <c r="P35" s="139" t="e">
        <f t="shared" si="6"/>
        <v>#REF!</v>
      </c>
      <c r="Q35" s="132"/>
      <c r="R35" s="53">
        <v>21328.04</v>
      </c>
      <c r="S35" s="51"/>
      <c r="T35" s="85" t="e">
        <f>+P35-R35</f>
        <v>#REF!</v>
      </c>
      <c r="U35" s="143"/>
      <c r="V35" s="146">
        <v>22004.47</v>
      </c>
    </row>
    <row r="36" spans="2:22" s="127" customFormat="1" ht="27" customHeight="1">
      <c r="B36" s="124"/>
      <c r="C36" s="198" t="e">
        <f t="shared" ref="C36:N36" si="12">IF((+C$7+C$8)=0," ",C37/(+C$7+C$8))</f>
        <v>#REF!</v>
      </c>
      <c r="D36" s="141" t="e">
        <f t="shared" si="12"/>
        <v>#REF!</v>
      </c>
      <c r="E36" s="141">
        <f t="shared" si="12"/>
        <v>0.25776674887142625</v>
      </c>
      <c r="F36" s="141">
        <f t="shared" si="12"/>
        <v>8.1983670566338748E-2</v>
      </c>
      <c r="G36" s="141">
        <f t="shared" si="12"/>
        <v>0.14313753739283511</v>
      </c>
      <c r="H36" s="141">
        <f t="shared" si="12"/>
        <v>5.9167009187620904E-2</v>
      </c>
      <c r="I36" s="141">
        <f t="shared" si="12"/>
        <v>1.7823361252731248E-2</v>
      </c>
      <c r="J36" s="141">
        <f t="shared" si="12"/>
        <v>2.2378223114104485E-2</v>
      </c>
      <c r="K36" s="141">
        <f t="shared" si="12"/>
        <v>0.17088261194857018</v>
      </c>
      <c r="L36" s="141">
        <f t="shared" si="12"/>
        <v>0.11214016038696539</v>
      </c>
      <c r="M36" s="141" t="str">
        <f t="shared" si="12"/>
        <v xml:space="preserve"> </v>
      </c>
      <c r="N36" s="141" t="str">
        <f t="shared" si="12"/>
        <v xml:space="preserve"> </v>
      </c>
      <c r="O36" s="124"/>
      <c r="P36" s="141" t="e">
        <f>IF((+P$7+P$8)=0," ",P37/(+P$7+P$8))</f>
        <v>#REF!</v>
      </c>
      <c r="Q36" s="132"/>
      <c r="R36" s="142">
        <f>IF((+R$7+R$8)=0," ",R37/(+R$7+R$8))</f>
        <v>7.2213777670105034E-2</v>
      </c>
      <c r="S36" s="124"/>
      <c r="T36" s="134"/>
      <c r="U36" s="143"/>
      <c r="V36" s="144">
        <f>IF((+V$7+V$8)=0," ",V37/(+V$7+V$8))</f>
        <v>4.6588392473186684E-2</v>
      </c>
    </row>
    <row r="37" spans="2:22" s="44" customFormat="1" ht="43.5" customHeight="1">
      <c r="B37" s="45" t="s">
        <v>53</v>
      </c>
      <c r="C37" s="200" t="e">
        <f>#REF!</f>
        <v>#REF!</v>
      </c>
      <c r="D37" s="150" t="e">
        <f>#REF!</f>
        <v>#REF!</v>
      </c>
      <c r="E37" s="150">
        <f>1468.2885*1.05</f>
        <v>1541.7029250000003</v>
      </c>
      <c r="F37" s="150">
        <f t="shared" ref="F37:N37" si="13">1468.2885*1.05</f>
        <v>1541.7029250000003</v>
      </c>
      <c r="G37" s="150">
        <f t="shared" si="13"/>
        <v>1541.7029250000003</v>
      </c>
      <c r="H37" s="150">
        <f t="shared" si="13"/>
        <v>1541.7029250000003</v>
      </c>
      <c r="I37" s="150">
        <f t="shared" si="13"/>
        <v>1541.7029250000003</v>
      </c>
      <c r="J37" s="150">
        <f t="shared" si="13"/>
        <v>1541.7029250000003</v>
      </c>
      <c r="K37" s="150">
        <f t="shared" si="13"/>
        <v>1541.7029250000003</v>
      </c>
      <c r="L37" s="150">
        <f t="shared" si="13"/>
        <v>1541.7029250000003</v>
      </c>
      <c r="M37" s="150">
        <f t="shared" si="13"/>
        <v>1541.7029250000003</v>
      </c>
      <c r="N37" s="150">
        <f t="shared" si="13"/>
        <v>1541.7029250000003</v>
      </c>
      <c r="O37" s="48"/>
      <c r="P37" s="139" t="e">
        <f t="shared" si="6"/>
        <v>#REF!</v>
      </c>
      <c r="Q37" s="132"/>
      <c r="R37" s="53">
        <v>17619.462000000003</v>
      </c>
      <c r="S37" s="51"/>
      <c r="T37" s="85" t="e">
        <f>+P37-R37</f>
        <v>#REF!</v>
      </c>
      <c r="U37" s="143"/>
      <c r="V37" s="146">
        <v>14424.029999999997</v>
      </c>
    </row>
    <row r="38" spans="2:22" s="127" customFormat="1" ht="27" customHeight="1">
      <c r="B38" s="124"/>
      <c r="C38" s="198" t="e">
        <f t="shared" ref="C38:N38" si="14">IF((+C$7+C$8)=0," ",C39/(+C$7+C$8))</f>
        <v>#REF!</v>
      </c>
      <c r="D38" s="141" t="e">
        <f t="shared" si="14"/>
        <v>#REF!</v>
      </c>
      <c r="E38" s="141">
        <f t="shared" si="14"/>
        <v>7.9451596722956031E-3</v>
      </c>
      <c r="F38" s="141">
        <f t="shared" si="14"/>
        <v>1.8181334751395904E-3</v>
      </c>
      <c r="G38" s="141">
        <f t="shared" si="14"/>
        <v>5.6950378709805611E-3</v>
      </c>
      <c r="H38" s="141">
        <f t="shared" si="14"/>
        <v>4.4614073869393023E-3</v>
      </c>
      <c r="I38" s="141">
        <f t="shared" si="14"/>
        <v>3.8496398802298293E-3</v>
      </c>
      <c r="J38" s="141">
        <f t="shared" si="14"/>
        <v>2.4135978981899469E-3</v>
      </c>
      <c r="K38" s="141">
        <f t="shared" si="14"/>
        <v>5.8745289292839722E-3</v>
      </c>
      <c r="L38" s="141">
        <f t="shared" si="14"/>
        <v>2.473086994471923E-3</v>
      </c>
      <c r="M38" s="141" t="str">
        <f t="shared" si="14"/>
        <v xml:space="preserve"> </v>
      </c>
      <c r="N38" s="141" t="str">
        <f t="shared" si="14"/>
        <v xml:space="preserve"> </v>
      </c>
      <c r="O38" s="124"/>
      <c r="P38" s="141" t="e">
        <f>IF((+P$7+P$8)=0," ",P39/(+P$7+P$8))</f>
        <v>#REF!</v>
      </c>
      <c r="Q38" s="132"/>
      <c r="R38" s="142">
        <f>IF((+R$7+R$8)=0," ",R39/(+R$7+R$8))</f>
        <v>5.0761442124484368E-3</v>
      </c>
      <c r="S38" s="124"/>
      <c r="T38" s="134"/>
      <c r="U38" s="143"/>
      <c r="V38" s="144">
        <f>IF((+V$7+V$8)=0," ",V39/(+V$7+V$8))</f>
        <v>3.3827223959665333E-3</v>
      </c>
    </row>
    <row r="39" spans="2:22" s="44" customFormat="1" ht="35.1" customHeight="1">
      <c r="B39" s="45" t="s">
        <v>54</v>
      </c>
      <c r="C39" s="199" t="e">
        <f>#REF!</f>
        <v>#REF!</v>
      </c>
      <c r="D39" s="184" t="e">
        <f>#REF!</f>
        <v>#REF!</v>
      </c>
      <c r="E39" s="145">
        <v>47.52</v>
      </c>
      <c r="F39" s="145">
        <v>34.19</v>
      </c>
      <c r="G39" s="145">
        <v>61.34</v>
      </c>
      <c r="H39" s="145">
        <v>116.25</v>
      </c>
      <c r="I39" s="145">
        <v>332.99</v>
      </c>
      <c r="J39" s="145">
        <v>166.28</v>
      </c>
      <c r="K39" s="145">
        <v>53</v>
      </c>
      <c r="L39" s="145">
        <v>34</v>
      </c>
      <c r="M39" s="145">
        <v>161.25</v>
      </c>
      <c r="N39" s="145">
        <v>161.25</v>
      </c>
      <c r="O39" s="48"/>
      <c r="P39" s="139" t="e">
        <f t="shared" si="6"/>
        <v>#REF!</v>
      </c>
      <c r="Q39" s="132"/>
      <c r="R39" s="53">
        <v>1238.53</v>
      </c>
      <c r="S39" s="51"/>
      <c r="T39" s="85" t="e">
        <f>+P39-R39</f>
        <v>#REF!</v>
      </c>
      <c r="U39" s="143"/>
      <c r="V39" s="146">
        <v>1047.31</v>
      </c>
    </row>
    <row r="40" spans="2:22" s="127" customFormat="1" ht="27" customHeight="1">
      <c r="B40" s="124"/>
      <c r="C40" s="198" t="e">
        <f t="shared" ref="C40:N40" si="15">IF((+C$7+C$8)=0," ",C41/(+C$7+C$8))</f>
        <v>#REF!</v>
      </c>
      <c r="D40" s="141" t="e">
        <f t="shared" si="15"/>
        <v>#REF!</v>
      </c>
      <c r="E40" s="141">
        <f t="shared" si="15"/>
        <v>2.3073064704898845E-2</v>
      </c>
      <c r="F40" s="141">
        <f t="shared" si="15"/>
        <v>1.2868917840999734E-2</v>
      </c>
      <c r="G40" s="141">
        <f t="shared" si="15"/>
        <v>2.543919753258353E-2</v>
      </c>
      <c r="H40" s="141">
        <f t="shared" si="15"/>
        <v>1.8958582788370024E-2</v>
      </c>
      <c r="I40" s="141">
        <f t="shared" si="15"/>
        <v>4.5087226441924188E-3</v>
      </c>
      <c r="J40" s="141">
        <f t="shared" si="15"/>
        <v>1.5937758553118603E-2</v>
      </c>
      <c r="K40" s="141">
        <f t="shared" si="15"/>
        <v>5.3203280868986923E-3</v>
      </c>
      <c r="L40" s="141">
        <f t="shared" si="15"/>
        <v>2.6185627000290951E-3</v>
      </c>
      <c r="M40" s="141" t="str">
        <f t="shared" si="15"/>
        <v xml:space="preserve"> </v>
      </c>
      <c r="N40" s="141" t="str">
        <f t="shared" si="15"/>
        <v xml:space="preserve"> </v>
      </c>
      <c r="O40" s="124"/>
      <c r="P40" s="141" t="e">
        <f>IF((+P$7+P$8)=0," ",P41/(+P$7+P$8))</f>
        <v>#REF!</v>
      </c>
      <c r="Q40" s="132"/>
      <c r="R40" s="142">
        <f>IF((+R$7+R$8)=0," ",R41/(+R$7+R$8))</f>
        <v>1.3154702742088405E-2</v>
      </c>
      <c r="S40" s="124"/>
      <c r="T40" s="134"/>
      <c r="U40" s="143"/>
      <c r="V40" s="144">
        <f>IF((+V$7+V$8)=0," ",V41/(+V$7+V$8))</f>
        <v>2.0350241659018761E-2</v>
      </c>
    </row>
    <row r="41" spans="2:22" s="44" customFormat="1" ht="34.5" customHeight="1">
      <c r="B41" s="45" t="s">
        <v>55</v>
      </c>
      <c r="C41" s="199" t="e">
        <f>#REF!</f>
        <v>#REF!</v>
      </c>
      <c r="D41" s="184" t="e">
        <f>#REF!</f>
        <v>#REF!</v>
      </c>
      <c r="E41" s="145">
        <v>138</v>
      </c>
      <c r="F41" s="186">
        <v>242</v>
      </c>
      <c r="G41" s="145">
        <v>274</v>
      </c>
      <c r="H41" s="145">
        <v>494</v>
      </c>
      <c r="I41" s="145">
        <v>390</v>
      </c>
      <c r="J41" s="145">
        <v>1098</v>
      </c>
      <c r="K41" s="145">
        <v>48</v>
      </c>
      <c r="L41" s="145">
        <v>36</v>
      </c>
      <c r="M41" s="145">
        <v>36</v>
      </c>
      <c r="N41" s="145">
        <v>36</v>
      </c>
      <c r="O41" s="48"/>
      <c r="P41" s="139" t="e">
        <f t="shared" si="6"/>
        <v>#REF!</v>
      </c>
      <c r="Q41" s="132"/>
      <c r="R41" s="53">
        <v>3209.62</v>
      </c>
      <c r="S41" s="51"/>
      <c r="T41" s="85" t="e">
        <f>+P41-R41</f>
        <v>#REF!</v>
      </c>
      <c r="U41" s="143"/>
      <c r="V41" s="146">
        <v>6300.5499999999993</v>
      </c>
    </row>
    <row r="42" spans="2:22" s="127" customFormat="1" ht="27" customHeight="1">
      <c r="B42" s="124"/>
      <c r="C42" s="198" t="e">
        <f t="shared" ref="C42:H42" si="16">IF((+C$7+C$8)=0," ",C43/(+C$7+C$8))</f>
        <v>#REF!</v>
      </c>
      <c r="D42" s="141" t="e">
        <f t="shared" si="16"/>
        <v>#REF!</v>
      </c>
      <c r="E42" s="141">
        <f t="shared" si="16"/>
        <v>0.14228389901354288</v>
      </c>
      <c r="F42" s="141">
        <f t="shared" si="16"/>
        <v>8.4711512895506519E-2</v>
      </c>
      <c r="G42" s="141">
        <f t="shared" si="16"/>
        <v>0.13109542670075891</v>
      </c>
      <c r="H42" s="141">
        <f t="shared" si="16"/>
        <v>0.10557704706640877</v>
      </c>
      <c r="I42" s="141">
        <v>0.01</v>
      </c>
      <c r="J42" s="141">
        <f>IF((+J$7+J$8)=0," ",J43/(+J$7+J$8))</f>
        <v>3.2775463399764851E-2</v>
      </c>
      <c r="K42" s="141">
        <f>IF((+K$7+K$8)=0," ",K43/(+K$7+K$8))</f>
        <v>0.1229217468410552</v>
      </c>
      <c r="L42" s="141">
        <f>IF((+L$7+L$8)=0," ",L43/(+L$7+L$8))</f>
        <v>6.6336921734070409E-2</v>
      </c>
      <c r="M42" s="141" t="str">
        <f>IF((+M$7+M$8)=0," ",M43/(+M$7+M$8))</f>
        <v xml:space="preserve"> </v>
      </c>
      <c r="N42" s="141" t="str">
        <f>IF((+N$7+N$8)=0," ",N43/(+N$7+N$8))</f>
        <v xml:space="preserve"> </v>
      </c>
      <c r="O42" s="147"/>
      <c r="P42" s="141" t="e">
        <f>IF((+P$7+P$8)=0," ",P43/(+P$7+P$8))</f>
        <v>#REF!</v>
      </c>
      <c r="Q42" s="132"/>
      <c r="R42" s="142">
        <f>IF((+R$7+R$8)=0," ",R43/(+R$7+R$8))</f>
        <v>6.3443257234272951E-2</v>
      </c>
      <c r="S42" s="124"/>
      <c r="T42" s="134"/>
      <c r="U42" s="143"/>
      <c r="V42" s="144">
        <f>IF((+V$7+V$8)=0," ",V43/(+V$7+V$8))</f>
        <v>8.7252313152156202E-2</v>
      </c>
    </row>
    <row r="43" spans="2:22" s="153" customFormat="1" ht="33.75" customHeight="1">
      <c r="B43" s="45" t="s">
        <v>56</v>
      </c>
      <c r="C43" s="199" t="e">
        <f>#REF!</f>
        <v>#REF!</v>
      </c>
      <c r="D43" s="184" t="e">
        <f>#REF!</f>
        <v>#REF!</v>
      </c>
      <c r="E43" s="186">
        <v>851</v>
      </c>
      <c r="F43" s="186">
        <v>1593</v>
      </c>
      <c r="G43" s="145">
        <v>1412</v>
      </c>
      <c r="H43" s="186">
        <v>2751</v>
      </c>
      <c r="I43" s="145">
        <v>2509</v>
      </c>
      <c r="J43" s="145">
        <v>2258</v>
      </c>
      <c r="K43" s="186">
        <v>1109</v>
      </c>
      <c r="L43" s="145">
        <v>912</v>
      </c>
      <c r="M43" s="145">
        <v>812</v>
      </c>
      <c r="N43" s="145">
        <v>698</v>
      </c>
      <c r="O43" s="138"/>
      <c r="P43" s="139" t="e">
        <f t="shared" si="6"/>
        <v>#REF!</v>
      </c>
      <c r="Q43" s="132"/>
      <c r="R43" s="151">
        <v>15479.54</v>
      </c>
      <c r="S43" s="138"/>
      <c r="T43" s="85" t="e">
        <f>+P43-R43</f>
        <v>#REF!</v>
      </c>
      <c r="U43" s="143"/>
      <c r="V43" s="152">
        <v>27013.810000000005</v>
      </c>
    </row>
    <row r="44" spans="2:22" s="127" customFormat="1" ht="27" customHeight="1">
      <c r="B44" s="124"/>
      <c r="C44" s="198" t="e">
        <f t="shared" ref="C44:O44" si="17">IF((+C$7+C$8)=0," ",C45/(+C$7+C$8))</f>
        <v>#REF!</v>
      </c>
      <c r="D44" s="141" t="e">
        <f t="shared" si="17"/>
        <v>#REF!</v>
      </c>
      <c r="E44" s="141">
        <f t="shared" si="17"/>
        <v>6.7602407624143115E-2</v>
      </c>
      <c r="F44" s="141">
        <f t="shared" si="17"/>
        <v>2.1501196490295135E-2</v>
      </c>
      <c r="G44" s="141">
        <f t="shared" si="17"/>
        <v>3.7539528242151454E-2</v>
      </c>
      <c r="H44" s="141">
        <f t="shared" si="17"/>
        <v>1.5517254612999293E-2</v>
      </c>
      <c r="I44" s="141">
        <f t="shared" si="17"/>
        <v>4.6743892992982573E-3</v>
      </c>
      <c r="J44" s="141">
        <f t="shared" si="17"/>
        <v>5.868956207452136E-3</v>
      </c>
      <c r="K44" s="141">
        <f t="shared" si="17"/>
        <v>4.4816005320328083E-2</v>
      </c>
      <c r="L44" s="141">
        <f t="shared" si="17"/>
        <v>2.9410096013965666E-2</v>
      </c>
      <c r="M44" s="141" t="str">
        <f t="shared" si="17"/>
        <v xml:space="preserve"> </v>
      </c>
      <c r="N44" s="141" t="str">
        <f t="shared" si="17"/>
        <v xml:space="preserve"> </v>
      </c>
      <c r="O44" s="147" t="str">
        <f t="shared" si="17"/>
        <v xml:space="preserve"> </v>
      </c>
      <c r="P44" s="141" t="e">
        <f>IF((+P$7+P$8)=0," ",P45/(+P$7+P$8))</f>
        <v>#REF!</v>
      </c>
      <c r="Q44" s="132"/>
      <c r="R44" s="142">
        <f>IF((+R$7+R$8)=0," ",R45/(+R$7+R$8))</f>
        <v>1.9885871697117807E-2</v>
      </c>
      <c r="S44" s="124"/>
      <c r="T44" s="134"/>
      <c r="U44" s="143"/>
      <c r="V44" s="144">
        <f>IF((+V$7+V$8)=0," ",V45/(+V$7+V$8))</f>
        <v>1.4337980772056946E-2</v>
      </c>
    </row>
    <row r="45" spans="2:22" s="44" customFormat="1" ht="35.1" customHeight="1">
      <c r="B45" s="45" t="s">
        <v>57</v>
      </c>
      <c r="C45" s="200">
        <v>404.33</v>
      </c>
      <c r="D45" s="150">
        <v>404.33</v>
      </c>
      <c r="E45" s="150">
        <v>404.33</v>
      </c>
      <c r="F45" s="150">
        <v>404.33</v>
      </c>
      <c r="G45" s="150">
        <v>404.33</v>
      </c>
      <c r="H45" s="150">
        <v>404.33</v>
      </c>
      <c r="I45" s="150">
        <v>404.33</v>
      </c>
      <c r="J45" s="150">
        <v>404.33</v>
      </c>
      <c r="K45" s="150">
        <v>404.33</v>
      </c>
      <c r="L45" s="150">
        <v>404.33</v>
      </c>
      <c r="M45" s="150">
        <v>404.33</v>
      </c>
      <c r="N45" s="150">
        <v>404.33</v>
      </c>
      <c r="O45" s="48"/>
      <c r="P45" s="139">
        <f t="shared" si="6"/>
        <v>4851.96</v>
      </c>
      <c r="Q45" s="132"/>
      <c r="R45" s="53">
        <v>4851.96</v>
      </c>
      <c r="S45" s="51"/>
      <c r="T45" s="85">
        <f>+P45-R45</f>
        <v>0</v>
      </c>
      <c r="U45" s="143"/>
      <c r="V45" s="146">
        <v>4439.1200000000008</v>
      </c>
    </row>
    <row r="46" spans="2:22" s="127" customFormat="1" ht="27" customHeight="1">
      <c r="B46" s="124"/>
      <c r="C46" s="198" t="e">
        <f t="shared" ref="C46:N46" si="18">IF((+C$7+C$8)=0," ",C47/(+C$7+C$8))</f>
        <v>#REF!</v>
      </c>
      <c r="D46" s="141" t="e">
        <f t="shared" si="18"/>
        <v>#REF!</v>
      </c>
      <c r="E46" s="141">
        <f t="shared" si="18"/>
        <v>3.1462966059187428E-2</v>
      </c>
      <c r="F46" s="141">
        <f t="shared" si="18"/>
        <v>1.5634139856421165E-2</v>
      </c>
      <c r="G46" s="141">
        <f t="shared" si="18"/>
        <v>2.4598961263715351E-2</v>
      </c>
      <c r="H46" s="141">
        <f t="shared" si="18"/>
        <v>1.753860796413988E-2</v>
      </c>
      <c r="I46" s="141">
        <f t="shared" si="18"/>
        <v>5.8035353009861382E-3</v>
      </c>
      <c r="J46" s="141">
        <f t="shared" si="18"/>
        <v>2.5401709897957701E-3</v>
      </c>
      <c r="K46" s="141">
        <f t="shared" si="18"/>
        <v>3.7463976945244955E-2</v>
      </c>
      <c r="L46" s="141">
        <f t="shared" si="18"/>
        <v>2.0075647366889729E-2</v>
      </c>
      <c r="M46" s="141" t="str">
        <f t="shared" si="18"/>
        <v xml:space="preserve"> </v>
      </c>
      <c r="N46" s="141" t="str">
        <f t="shared" si="18"/>
        <v xml:space="preserve"> </v>
      </c>
      <c r="O46" s="124"/>
      <c r="P46" s="141" t="e">
        <f>IF((+P$7+P$8)=0," ",P47/(+P$7+P$8))</f>
        <v>#REF!</v>
      </c>
      <c r="Q46" s="132"/>
      <c r="R46" s="142">
        <f>IF((+R$7+R$8)=0," ",R47/(+R$7+R$8))</f>
        <v>1.4850548777941223E-2</v>
      </c>
      <c r="S46" s="124"/>
      <c r="T46" s="134"/>
      <c r="U46" s="143"/>
      <c r="V46" s="144">
        <f>IF((+V$7+V$8)=0," ",V47/(+V$7+V$8))</f>
        <v>1.2476677590454902E-2</v>
      </c>
    </row>
    <row r="47" spans="2:22" s="44" customFormat="1" ht="35.1" customHeight="1">
      <c r="B47" s="45" t="s">
        <v>58</v>
      </c>
      <c r="C47" s="199" t="e">
        <f>#REF!</f>
        <v>#REF!</v>
      </c>
      <c r="D47" s="184" t="e">
        <f>#REF!</f>
        <v>#REF!</v>
      </c>
      <c r="E47" s="145">
        <v>188.18</v>
      </c>
      <c r="F47" s="145">
        <v>294</v>
      </c>
      <c r="G47" s="145">
        <v>264.95</v>
      </c>
      <c r="H47" s="145">
        <v>457</v>
      </c>
      <c r="I47" s="186">
        <v>502</v>
      </c>
      <c r="J47" s="145">
        <v>175</v>
      </c>
      <c r="K47" s="145">
        <v>338</v>
      </c>
      <c r="L47" s="145">
        <v>276</v>
      </c>
      <c r="M47" s="145">
        <v>301</v>
      </c>
      <c r="N47" s="145">
        <v>232</v>
      </c>
      <c r="O47" s="48"/>
      <c r="P47" s="139" t="e">
        <f t="shared" si="6"/>
        <v>#REF!</v>
      </c>
      <c r="Q47" s="132"/>
      <c r="R47" s="53">
        <v>3623.3900000000003</v>
      </c>
      <c r="S47" s="51"/>
      <c r="T47" s="85" t="e">
        <f>+P47-R47</f>
        <v>#REF!</v>
      </c>
      <c r="U47" s="143"/>
      <c r="V47" s="146">
        <v>3862.8500000000004</v>
      </c>
    </row>
    <row r="48" spans="2:22" s="127" customFormat="1" ht="27" customHeight="1">
      <c r="B48" s="124"/>
      <c r="C48" s="198" t="e">
        <f t="shared" ref="C48:N48" si="19">IF((+C$7+C$8)=0," ",C49/(+C$7+C$8))</f>
        <v>#REF!</v>
      </c>
      <c r="D48" s="141" t="e">
        <f t="shared" si="19"/>
        <v>#REF!</v>
      </c>
      <c r="E48" s="141">
        <f t="shared" si="19"/>
        <v>1.9227553920749037E-2</v>
      </c>
      <c r="F48" s="141">
        <f t="shared" si="19"/>
        <v>1.5176814676947619E-3</v>
      </c>
      <c r="G48" s="141">
        <f t="shared" si="19"/>
        <v>6.1044789699538941E-3</v>
      </c>
      <c r="H48" s="141">
        <f t="shared" si="19"/>
        <v>6.0790273556231007E-4</v>
      </c>
      <c r="I48" s="141">
        <f t="shared" si="19"/>
        <v>5.5491971005445151E-4</v>
      </c>
      <c r="J48" s="141">
        <f t="shared" si="19"/>
        <v>9.725226075218092E-4</v>
      </c>
      <c r="K48" s="141">
        <f t="shared" si="19"/>
        <v>5.8745289292839722E-3</v>
      </c>
      <c r="L48" s="141">
        <f t="shared" si="19"/>
        <v>5.0916496945010179E-4</v>
      </c>
      <c r="M48" s="141" t="str">
        <f t="shared" si="19"/>
        <v xml:space="preserve"> </v>
      </c>
      <c r="N48" s="141" t="str">
        <f t="shared" si="19"/>
        <v xml:space="preserve"> </v>
      </c>
      <c r="O48" s="124"/>
      <c r="P48" s="141" t="e">
        <f>IF((+P$7+P$8)=0," ",P49/(+P$7+P$8))</f>
        <v>#REF!</v>
      </c>
      <c r="Q48" s="132"/>
      <c r="R48" s="142">
        <f>IF((+R$7+R$8)=0," ",R49/(+R$7+R$8))</f>
        <v>2.9595437622092452E-3</v>
      </c>
      <c r="S48" s="124"/>
      <c r="T48" s="134"/>
      <c r="U48" s="143"/>
      <c r="V48" s="144">
        <f>IF((+V$7+V$8)=0," ",V49/(+V$7+V$8))</f>
        <v>3.4321077980292731E-3</v>
      </c>
    </row>
    <row r="49" spans="1:22" s="44" customFormat="1" ht="35.1" customHeight="1">
      <c r="B49" s="45" t="s">
        <v>59</v>
      </c>
      <c r="C49" s="199" t="e">
        <f>#REF!</f>
        <v>#REF!</v>
      </c>
      <c r="D49" s="184" t="e">
        <f>#REF!</f>
        <v>#REF!</v>
      </c>
      <c r="E49" s="145">
        <v>115</v>
      </c>
      <c r="F49" s="145">
        <v>28.54</v>
      </c>
      <c r="G49" s="145">
        <v>65.75</v>
      </c>
      <c r="H49" s="145">
        <v>15.84</v>
      </c>
      <c r="I49" s="145">
        <v>48</v>
      </c>
      <c r="J49" s="145">
        <v>67</v>
      </c>
      <c r="K49" s="145">
        <v>53</v>
      </c>
      <c r="L49" s="145">
        <v>7</v>
      </c>
      <c r="M49" s="145">
        <v>122</v>
      </c>
      <c r="N49" s="145">
        <v>25</v>
      </c>
      <c r="O49" s="48"/>
      <c r="P49" s="139" t="e">
        <f t="shared" si="6"/>
        <v>#REF!</v>
      </c>
      <c r="Q49" s="132"/>
      <c r="R49" s="53">
        <v>722.1</v>
      </c>
      <c r="S49" s="51"/>
      <c r="T49" s="85" t="e">
        <f>+P49-R49</f>
        <v>#REF!</v>
      </c>
      <c r="U49" s="143"/>
      <c r="V49" s="146">
        <v>1062.5999999999999</v>
      </c>
    </row>
    <row r="50" spans="1:22" s="127" customFormat="1" ht="27" customHeight="1">
      <c r="B50" s="124"/>
      <c r="C50" s="198" t="e">
        <f t="shared" ref="C50:N50" si="20">IF((+C$7+C$8)=0," ",C51/(+C$7+C$8))</f>
        <v>#REF!</v>
      </c>
      <c r="D50" s="141" t="e">
        <f t="shared" si="20"/>
        <v>#REF!</v>
      </c>
      <c r="E50" s="141">
        <f t="shared" si="20"/>
        <v>0.20293429192442736</v>
      </c>
      <c r="F50" s="141">
        <f t="shared" si="20"/>
        <v>0</v>
      </c>
      <c r="G50" s="141">
        <f t="shared" si="20"/>
        <v>0</v>
      </c>
      <c r="H50" s="141">
        <f t="shared" si="20"/>
        <v>0</v>
      </c>
      <c r="I50" s="141">
        <f t="shared" si="20"/>
        <v>8.6151284985953587E-4</v>
      </c>
      <c r="J50" s="141" t="s">
        <v>60</v>
      </c>
      <c r="K50" s="141">
        <f t="shared" si="20"/>
        <v>9.4214143205497668E-3</v>
      </c>
      <c r="L50" s="141">
        <f t="shared" si="20"/>
        <v>6.1827174861798081E-3</v>
      </c>
      <c r="M50" s="141" t="str">
        <f t="shared" si="20"/>
        <v xml:space="preserve"> </v>
      </c>
      <c r="N50" s="141" t="str">
        <f t="shared" si="20"/>
        <v xml:space="preserve"> </v>
      </c>
      <c r="O50" s="124"/>
      <c r="P50" s="141" t="e">
        <f>IF((+P$7+P$8)=0," ",P51/(+P$7+P$8))</f>
        <v>#REF!</v>
      </c>
      <c r="Q50" s="132"/>
      <c r="R50" s="142">
        <f>IF((+R$7+R$8)=0," ",R51/(+R$7+R$8))</f>
        <v>1.6977477507201005E-2</v>
      </c>
      <c r="S50" s="124"/>
      <c r="T50" s="134"/>
      <c r="U50" s="143"/>
      <c r="V50" s="144">
        <f>IF((+V$7+V$8)=0," ",V51/(+V$7+V$8))</f>
        <v>1.1223212133783342E-2</v>
      </c>
    </row>
    <row r="51" spans="1:22" s="44" customFormat="1" ht="35.1" customHeight="1">
      <c r="B51" s="45" t="s">
        <v>61</v>
      </c>
      <c r="C51" s="199" t="e">
        <f>#REF!</f>
        <v>#REF!</v>
      </c>
      <c r="D51" s="184" t="e">
        <f>#REF!+#REF!</f>
        <v>#REF!</v>
      </c>
      <c r="E51" s="145">
        <v>1213.75</v>
      </c>
      <c r="F51" s="145">
        <v>0</v>
      </c>
      <c r="G51" s="145">
        <v>0</v>
      </c>
      <c r="H51" s="145">
        <v>0</v>
      </c>
      <c r="I51" s="145">
        <v>74.52</v>
      </c>
      <c r="J51" s="145">
        <v>0</v>
      </c>
      <c r="K51" s="145">
        <v>85</v>
      </c>
      <c r="L51" s="145">
        <v>85</v>
      </c>
      <c r="M51" s="145">
        <v>882</v>
      </c>
      <c r="N51" s="145">
        <v>1099</v>
      </c>
      <c r="O51" s="48"/>
      <c r="P51" s="139" t="e">
        <f t="shared" si="6"/>
        <v>#REF!</v>
      </c>
      <c r="Q51" s="132"/>
      <c r="R51" s="53">
        <v>4142.34</v>
      </c>
      <c r="S51" s="51"/>
      <c r="T51" s="85" t="e">
        <f>+P51-R51</f>
        <v>#REF!</v>
      </c>
      <c r="U51" s="143"/>
      <c r="V51" s="146">
        <v>3474.77</v>
      </c>
    </row>
    <row r="52" spans="1:22" s="127" customFormat="1" ht="27" customHeight="1">
      <c r="B52" s="124"/>
      <c r="C52" s="198" t="e">
        <f t="shared" ref="C52:N52" si="21">IF((+C$7+C$8)=0," ",C53/(+C$7+C$8))</f>
        <v>#REF!</v>
      </c>
      <c r="D52" s="141" t="e">
        <f t="shared" si="21"/>
        <v>#REF!</v>
      </c>
      <c r="E52" s="141">
        <f t="shared" si="21"/>
        <v>0</v>
      </c>
      <c r="F52" s="141">
        <f t="shared" si="21"/>
        <v>0</v>
      </c>
      <c r="G52" s="141">
        <f t="shared" si="21"/>
        <v>0</v>
      </c>
      <c r="H52" s="141">
        <f t="shared" si="21"/>
        <v>0</v>
      </c>
      <c r="I52" s="141">
        <f t="shared" si="21"/>
        <v>0</v>
      </c>
      <c r="J52" s="141">
        <f t="shared" si="21"/>
        <v>0</v>
      </c>
      <c r="K52" s="141">
        <f t="shared" si="21"/>
        <v>0</v>
      </c>
      <c r="L52" s="141">
        <f t="shared" si="21"/>
        <v>0</v>
      </c>
      <c r="M52" s="141" t="str">
        <f t="shared" si="21"/>
        <v xml:space="preserve"> </v>
      </c>
      <c r="N52" s="141" t="str">
        <f t="shared" si="21"/>
        <v xml:space="preserve"> </v>
      </c>
      <c r="O52" s="124"/>
      <c r="P52" s="141" t="e">
        <f>IF((+P$7+P$8)=0," ",P53/(+P$7+P$8))</f>
        <v>#REF!</v>
      </c>
      <c r="Q52" s="132"/>
      <c r="R52" s="142">
        <f>IF((+R$7+R$8)=0," ",R53/(+R$7+R$8))</f>
        <v>2.0492617104343201E-5</v>
      </c>
      <c r="S52" s="124"/>
      <c r="T52" s="134"/>
      <c r="U52" s="143"/>
      <c r="V52" s="144">
        <f>IF((+V$7+V$8)=0," ",V53/(+V$7+V$8))</f>
        <v>5.8141701931418174E-4</v>
      </c>
    </row>
    <row r="53" spans="1:22" s="44" customFormat="1" ht="35.1" customHeight="1">
      <c r="B53" s="45" t="s">
        <v>62</v>
      </c>
      <c r="C53" s="199" t="e">
        <f>#REF!</f>
        <v>#REF!</v>
      </c>
      <c r="D53" s="184" t="e">
        <f>#REF!</f>
        <v>#REF!</v>
      </c>
      <c r="E53" s="145">
        <v>0</v>
      </c>
      <c r="F53" s="145">
        <v>0</v>
      </c>
      <c r="G53" s="145">
        <v>0</v>
      </c>
      <c r="H53" s="145">
        <v>0</v>
      </c>
      <c r="I53" s="145">
        <v>0</v>
      </c>
      <c r="J53" s="145">
        <v>0</v>
      </c>
      <c r="K53" s="145">
        <v>0</v>
      </c>
      <c r="L53" s="145">
        <v>0</v>
      </c>
      <c r="M53" s="145">
        <v>0</v>
      </c>
      <c r="N53" s="145">
        <v>5</v>
      </c>
      <c r="O53" s="48"/>
      <c r="P53" s="139" t="e">
        <f t="shared" si="6"/>
        <v>#REF!</v>
      </c>
      <c r="Q53" s="132"/>
      <c r="R53" s="53">
        <v>5</v>
      </c>
      <c r="S53" s="51"/>
      <c r="T53" s="154" t="e">
        <f>+P53-R53</f>
        <v>#REF!</v>
      </c>
      <c r="U53" s="143"/>
      <c r="V53" s="146">
        <v>180.01</v>
      </c>
    </row>
    <row r="54" spans="1:22" s="51" customFormat="1">
      <c r="A54" s="45"/>
      <c r="B54" s="45"/>
      <c r="C54" s="201"/>
      <c r="D54" s="155"/>
      <c r="E54" s="155"/>
      <c r="F54" s="155"/>
      <c r="G54" s="155"/>
      <c r="H54" s="155"/>
      <c r="I54" s="155"/>
      <c r="J54" s="48"/>
      <c r="K54" s="48"/>
      <c r="L54" s="48"/>
      <c r="M54" s="48"/>
      <c r="N54" s="48"/>
      <c r="O54" s="48"/>
      <c r="P54" s="132"/>
      <c r="Q54" s="132"/>
      <c r="R54" s="156"/>
      <c r="T54" s="85"/>
      <c r="U54" s="143"/>
      <c r="V54" s="157"/>
    </row>
    <row r="55" spans="1:22" s="85" customFormat="1" ht="50.1" customHeight="1" thickBot="1">
      <c r="B55" s="62" t="s">
        <v>63</v>
      </c>
      <c r="C55" s="191" t="e">
        <f t="shared" ref="C55:P55" si="22">+C53+C51+C49+C47+C45+C43+C41+C39+C37+C35+C33+C31+C29+C27+C25+C23</f>
        <v>#REF!</v>
      </c>
      <c r="D55" s="63" t="e">
        <f t="shared" si="22"/>
        <v>#REF!</v>
      </c>
      <c r="E55" s="64">
        <f t="shared" si="22"/>
        <v>18898.802925</v>
      </c>
      <c r="F55" s="64">
        <f t="shared" si="22"/>
        <v>18711.942924999999</v>
      </c>
      <c r="G55" s="64">
        <f t="shared" si="22"/>
        <v>20565.832925000002</v>
      </c>
      <c r="H55" s="64">
        <f t="shared" si="22"/>
        <v>23563.122925</v>
      </c>
      <c r="I55" s="64">
        <f t="shared" si="22"/>
        <v>37917.152925000002</v>
      </c>
      <c r="J55" s="64">
        <f t="shared" si="22"/>
        <v>35453.122924999996</v>
      </c>
      <c r="K55" s="64">
        <f t="shared" si="22"/>
        <v>17264.842925000001</v>
      </c>
      <c r="L55" s="64" t="e">
        <f t="shared" si="22"/>
        <v>#REF!</v>
      </c>
      <c r="M55" s="64" t="e">
        <f t="shared" si="22"/>
        <v>#REF!</v>
      </c>
      <c r="N55" s="64" t="e">
        <f t="shared" si="22"/>
        <v>#REF!</v>
      </c>
      <c r="O55" s="64"/>
      <c r="P55" s="68" t="e">
        <f t="shared" si="22"/>
        <v>#REF!</v>
      </c>
      <c r="Q55" s="132"/>
      <c r="R55" s="70">
        <f>+R53+R51+R49+R47+R45+R43+R41+R39+R37+R35+R33+R31+R29+R27+R25+R23</f>
        <v>249937.15640000001</v>
      </c>
      <c r="S55" s="64">
        <f>+S53+S51+S49+S47+S45+S43+S41+S39+S37+S35+S33+S31+S29+S27+S25+S23</f>
        <v>0</v>
      </c>
      <c r="T55" s="64" t="e">
        <f>+T53+T51+T49+T47+T45+T43+T41+T39+T37+T35+T33+T31+T29+T27+T25+T23</f>
        <v>#REF!</v>
      </c>
      <c r="U55" s="143"/>
      <c r="V55" s="158">
        <f>+V53+V51+V49+V47+V45+V43+V41+V39+V37+V35+V33+V31+V29+V27+V25+V23</f>
        <v>278287.79000000004</v>
      </c>
    </row>
    <row r="56" spans="1:22" s="15" customFormat="1" ht="27" thickTop="1">
      <c r="A56" s="159" t="s">
        <v>64</v>
      </c>
      <c r="B56" s="56"/>
      <c r="C56" s="160">
        <v>0</v>
      </c>
      <c r="D56" s="161">
        <v>0</v>
      </c>
      <c r="E56" s="161">
        <v>0</v>
      </c>
      <c r="F56" s="161">
        <v>0</v>
      </c>
      <c r="G56" s="161">
        <v>0</v>
      </c>
      <c r="H56" s="161">
        <v>0</v>
      </c>
      <c r="I56" s="161">
        <v>0</v>
      </c>
      <c r="J56" s="161">
        <v>0</v>
      </c>
      <c r="K56" s="161">
        <v>0</v>
      </c>
      <c r="L56" s="161">
        <v>0</v>
      </c>
      <c r="M56" s="161">
        <v>0</v>
      </c>
      <c r="N56" s="161">
        <v>0</v>
      </c>
      <c r="O56" s="86"/>
      <c r="P56" s="56"/>
      <c r="Q56" s="132"/>
      <c r="R56" s="162"/>
      <c r="S56" s="51"/>
      <c r="T56" s="85"/>
      <c r="U56" s="143"/>
      <c r="V56" s="163"/>
    </row>
    <row r="57" spans="1:22" s="85" customFormat="1" ht="50.1" customHeight="1" thickBot="1">
      <c r="B57" s="164" t="s">
        <v>65</v>
      </c>
      <c r="C57" s="202" t="e">
        <f t="shared" ref="C57:N57" si="23">+C14-C55</f>
        <v>#REF!</v>
      </c>
      <c r="D57" s="165" t="e">
        <f t="shared" si="23"/>
        <v>#REF!</v>
      </c>
      <c r="E57" s="166">
        <f t="shared" si="23"/>
        <v>-12917.802925</v>
      </c>
      <c r="F57" s="166">
        <f t="shared" si="23"/>
        <v>2593.0570750000006</v>
      </c>
      <c r="G57" s="166">
        <f t="shared" si="23"/>
        <v>-9795.0529250000036</v>
      </c>
      <c r="H57" s="166">
        <f t="shared" si="23"/>
        <v>2493.6770749999996</v>
      </c>
      <c r="I57" s="166">
        <f t="shared" si="23"/>
        <v>49181.847074999998</v>
      </c>
      <c r="J57" s="166">
        <f t="shared" si="23"/>
        <v>34230.157075000003</v>
      </c>
      <c r="K57" s="166">
        <f t="shared" si="23"/>
        <v>-7882.8429250000008</v>
      </c>
      <c r="L57" s="166" t="e">
        <f t="shared" si="23"/>
        <v>#REF!</v>
      </c>
      <c r="M57" s="166" t="e">
        <f t="shared" si="23"/>
        <v>#REF!</v>
      </c>
      <c r="N57" s="166" t="e">
        <f t="shared" si="23"/>
        <v>#REF!</v>
      </c>
      <c r="O57" s="71"/>
      <c r="P57" s="165" t="e">
        <f>+P14-P55</f>
        <v>#REF!</v>
      </c>
      <c r="Q57" s="132"/>
      <c r="R57" s="167">
        <f>+R14-R55</f>
        <v>0.223599999997532</v>
      </c>
      <c r="S57" s="71"/>
      <c r="T57" s="64" t="e">
        <f>+T14-T55</f>
        <v>#REF!</v>
      </c>
      <c r="U57" s="143"/>
      <c r="V57" s="168">
        <f>+V14-V55</f>
        <v>37822.969999999972</v>
      </c>
    </row>
    <row r="58" spans="1:22" s="15" customFormat="1" ht="21" customHeight="1" thickTop="1">
      <c r="A58" s="169"/>
      <c r="B58" s="169"/>
      <c r="C58" s="203"/>
      <c r="D58" s="170"/>
      <c r="E58" s="171"/>
      <c r="F58" s="170"/>
      <c r="G58" s="170"/>
      <c r="H58" s="170"/>
      <c r="I58" s="170"/>
      <c r="J58" s="170"/>
      <c r="K58" s="170"/>
      <c r="L58" s="171"/>
      <c r="M58" s="172"/>
      <c r="N58" s="172"/>
      <c r="O58" s="172"/>
      <c r="P58" s="172"/>
      <c r="Q58" s="132"/>
      <c r="R58" s="51"/>
      <c r="S58" s="51"/>
      <c r="T58" s="51"/>
      <c r="U58" s="143"/>
      <c r="V58" s="143"/>
    </row>
    <row r="59" spans="1:22" s="15" customFormat="1" ht="36" customHeight="1">
      <c r="A59" s="173"/>
      <c r="B59" s="174" t="s">
        <v>66</v>
      </c>
      <c r="C59" s="204"/>
      <c r="D59" s="175" t="e">
        <f>+C57+D57</f>
        <v>#REF!</v>
      </c>
      <c r="E59" s="175" t="e">
        <f t="shared" ref="E59:N59" si="24">+D59+E57</f>
        <v>#REF!</v>
      </c>
      <c r="F59" s="175" t="e">
        <f t="shared" si="24"/>
        <v>#REF!</v>
      </c>
      <c r="G59" s="175" t="e">
        <f t="shared" si="24"/>
        <v>#REF!</v>
      </c>
      <c r="H59" s="175" t="e">
        <f t="shared" si="24"/>
        <v>#REF!</v>
      </c>
      <c r="I59" s="175" t="e">
        <f t="shared" si="24"/>
        <v>#REF!</v>
      </c>
      <c r="J59" s="175" t="e">
        <f t="shared" si="24"/>
        <v>#REF!</v>
      </c>
      <c r="K59" s="175" t="e">
        <f t="shared" si="24"/>
        <v>#REF!</v>
      </c>
      <c r="L59" s="175" t="e">
        <f t="shared" si="24"/>
        <v>#REF!</v>
      </c>
      <c r="M59" s="175" t="e">
        <f t="shared" si="24"/>
        <v>#REF!</v>
      </c>
      <c r="N59" s="175" t="e">
        <f t="shared" si="24"/>
        <v>#REF!</v>
      </c>
      <c r="O59" s="176"/>
      <c r="P59" s="177"/>
      <c r="Q59" s="132"/>
      <c r="R59" s="51"/>
      <c r="S59" s="51"/>
      <c r="T59" s="51"/>
      <c r="U59" s="143"/>
      <c r="V59" s="143"/>
    </row>
    <row r="60" spans="1:22" s="15" customFormat="1" ht="36" customHeight="1">
      <c r="A60" s="173"/>
      <c r="B60" s="174"/>
      <c r="C60" s="171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8" t="s">
        <v>67</v>
      </c>
      <c r="O60" s="176"/>
      <c r="P60" s="179" t="e">
        <f>+P57+P45</f>
        <v>#REF!</v>
      </c>
      <c r="Q60" s="132"/>
      <c r="R60" s="51"/>
      <c r="S60" s="51"/>
      <c r="T60" s="51"/>
      <c r="U60" s="143"/>
      <c r="V60" s="179">
        <f>+V57+V45</f>
        <v>42262.089999999975</v>
      </c>
    </row>
    <row r="61" spans="1:22" s="15" customFormat="1" ht="24.75" customHeight="1">
      <c r="A61" s="173"/>
      <c r="B61" s="173"/>
      <c r="C61" s="173"/>
      <c r="D61" s="173"/>
      <c r="E61" s="173"/>
      <c r="F61" s="173"/>
      <c r="G61" s="173"/>
      <c r="H61" s="173"/>
      <c r="I61" s="173"/>
      <c r="J61" s="175"/>
      <c r="K61" s="175"/>
      <c r="L61" s="175"/>
      <c r="M61" s="173"/>
      <c r="N61" s="173"/>
      <c r="O61" s="173"/>
      <c r="P61" s="173"/>
      <c r="Q61" s="132"/>
      <c r="R61" s="173"/>
      <c r="S61" s="173"/>
      <c r="T61" s="51"/>
      <c r="U61" s="143"/>
      <c r="V61" s="143"/>
    </row>
    <row r="62" spans="1:22" s="15" customFormat="1" ht="27" customHeight="1">
      <c r="A62" s="173"/>
      <c r="B62" s="173"/>
      <c r="C62" s="173"/>
      <c r="D62" s="173"/>
      <c r="E62" s="173"/>
      <c r="F62" s="175"/>
      <c r="G62" s="175"/>
      <c r="H62" s="180"/>
      <c r="I62" s="175"/>
      <c r="J62" s="175"/>
      <c r="K62" s="175"/>
      <c r="L62" s="175"/>
      <c r="M62" s="173"/>
      <c r="N62" s="173"/>
      <c r="O62" s="173"/>
      <c r="P62" s="173"/>
      <c r="Q62" s="132"/>
      <c r="T62" s="51"/>
    </row>
    <row r="63" spans="1:22" s="15" customFormat="1" ht="27" customHeight="1">
      <c r="A63" s="173"/>
      <c r="D63" s="181"/>
      <c r="E63" s="175"/>
      <c r="F63" s="175"/>
      <c r="G63" s="175"/>
      <c r="H63" s="180"/>
      <c r="I63" s="175"/>
      <c r="J63" s="175"/>
      <c r="K63" s="175"/>
      <c r="L63" s="175"/>
      <c r="M63" s="173"/>
      <c r="N63" s="173"/>
      <c r="O63" s="173"/>
      <c r="P63" s="173"/>
      <c r="Q63" s="132"/>
      <c r="T63" s="51"/>
    </row>
    <row r="64" spans="1:22" s="15" customFormat="1" ht="27" customHeight="1">
      <c r="A64" s="173"/>
      <c r="D64" s="175"/>
      <c r="E64" s="175"/>
      <c r="F64" s="175"/>
      <c r="G64" s="175"/>
      <c r="H64" s="175"/>
      <c r="I64" s="175"/>
      <c r="J64" s="175"/>
      <c r="K64" s="175"/>
      <c r="L64" s="175"/>
      <c r="M64" s="173"/>
      <c r="N64" s="173"/>
      <c r="O64" s="173"/>
      <c r="P64" s="173"/>
      <c r="Q64" s="132"/>
      <c r="T64" s="51"/>
    </row>
    <row r="65" spans="1:20" s="15" customFormat="1" ht="27" customHeight="1">
      <c r="A65" s="173"/>
      <c r="D65" s="175"/>
      <c r="E65" s="175"/>
      <c r="F65" s="175"/>
      <c r="G65" s="175"/>
      <c r="H65" s="175"/>
      <c r="I65" s="175"/>
      <c r="J65" s="175"/>
      <c r="K65" s="175"/>
      <c r="L65" s="175"/>
      <c r="M65" s="173"/>
      <c r="N65" s="173"/>
      <c r="O65" s="173"/>
      <c r="P65" s="173"/>
      <c r="Q65" s="132"/>
      <c r="R65" s="51"/>
      <c r="S65" s="51"/>
      <c r="T65" s="51"/>
    </row>
    <row r="66" spans="1:20" s="15" customFormat="1" ht="27" customHeight="1">
      <c r="A66" s="173"/>
      <c r="D66" s="175"/>
      <c r="E66" s="175"/>
      <c r="F66" s="175"/>
      <c r="G66" s="175"/>
      <c r="H66" s="175"/>
      <c r="I66" s="175"/>
      <c r="J66" s="175"/>
      <c r="K66" s="175"/>
      <c r="L66" s="175"/>
      <c r="M66" s="173"/>
      <c r="N66" s="173"/>
      <c r="O66" s="173"/>
      <c r="P66" s="173"/>
      <c r="Q66" s="132"/>
      <c r="R66" s="51"/>
      <c r="S66" s="51"/>
      <c r="T66" s="51"/>
    </row>
    <row r="67" spans="1:20" s="15" customFormat="1">
      <c r="A67" s="173"/>
      <c r="F67" s="175"/>
      <c r="G67" s="175"/>
      <c r="H67" s="175"/>
      <c r="I67" s="175"/>
      <c r="J67" s="175"/>
      <c r="K67" s="175"/>
      <c r="L67" s="175"/>
      <c r="M67" s="173"/>
      <c r="N67" s="173"/>
      <c r="O67" s="173"/>
      <c r="P67" s="173"/>
      <c r="Q67" s="132"/>
      <c r="R67" s="51"/>
      <c r="S67" s="51"/>
      <c r="T67" s="51"/>
    </row>
    <row r="68" spans="1:20" s="15" customFormat="1">
      <c r="A68" s="173"/>
      <c r="B68" s="173"/>
      <c r="C68" s="171"/>
      <c r="D68" s="171"/>
      <c r="E68" s="171"/>
      <c r="F68" s="175"/>
      <c r="G68" s="175"/>
      <c r="H68" s="175"/>
      <c r="I68" s="175"/>
      <c r="J68" s="175"/>
      <c r="K68" s="175"/>
      <c r="L68" s="175"/>
      <c r="M68" s="173"/>
      <c r="N68" s="173"/>
      <c r="O68" s="173"/>
      <c r="P68" s="173"/>
      <c r="Q68" s="132"/>
      <c r="R68" s="51"/>
      <c r="S68" s="51"/>
      <c r="T68" s="51"/>
    </row>
    <row r="69" spans="1:20" s="15" customFormat="1">
      <c r="A69" s="173"/>
      <c r="B69" s="173"/>
      <c r="C69" s="171"/>
      <c r="D69" s="171"/>
      <c r="E69" s="171"/>
      <c r="F69" s="175"/>
      <c r="G69" s="175"/>
      <c r="H69" s="175"/>
      <c r="I69" s="175"/>
      <c r="J69" s="175"/>
      <c r="K69" s="175"/>
      <c r="L69" s="175"/>
      <c r="M69" s="173"/>
      <c r="N69" s="173"/>
      <c r="O69" s="173"/>
      <c r="P69" s="173"/>
      <c r="Q69" s="132"/>
      <c r="R69" s="51"/>
      <c r="S69" s="51"/>
      <c r="T69" s="51"/>
    </row>
    <row r="70" spans="1:20" s="15" customFormat="1">
      <c r="A70" s="173"/>
      <c r="B70" s="173"/>
      <c r="C70" s="171"/>
      <c r="D70" s="171"/>
      <c r="E70" s="171"/>
      <c r="F70" s="175"/>
      <c r="G70" s="175"/>
      <c r="H70" s="175"/>
      <c r="I70" s="175"/>
      <c r="J70" s="175"/>
      <c r="K70" s="175"/>
      <c r="L70" s="175"/>
      <c r="M70" s="173"/>
      <c r="N70" s="173"/>
      <c r="O70" s="173"/>
      <c r="P70" s="173"/>
      <c r="Q70" s="132"/>
      <c r="R70" s="51"/>
      <c r="S70" s="51"/>
      <c r="T70" s="51"/>
    </row>
    <row r="71" spans="1:20" s="15" customFormat="1">
      <c r="A71" s="173"/>
      <c r="B71" s="173"/>
      <c r="C71" s="171"/>
      <c r="D71" s="171"/>
      <c r="E71" s="171"/>
      <c r="F71" s="175"/>
      <c r="G71" s="175"/>
      <c r="H71" s="175"/>
      <c r="I71" s="175"/>
      <c r="J71" s="175"/>
      <c r="K71" s="175"/>
      <c r="L71" s="175"/>
      <c r="M71" s="173"/>
      <c r="N71" s="173"/>
      <c r="O71" s="173"/>
      <c r="P71" s="173"/>
      <c r="Q71" s="132"/>
      <c r="R71" s="51"/>
      <c r="S71" s="51"/>
      <c r="T71" s="51"/>
    </row>
    <row r="72" spans="1:20" s="15" customFormat="1" ht="28.5" customHeight="1">
      <c r="A72" s="173"/>
      <c r="B72" s="173"/>
      <c r="C72" s="171"/>
      <c r="D72" s="171"/>
      <c r="E72" s="171"/>
      <c r="F72" s="175"/>
      <c r="G72" s="175"/>
      <c r="H72" s="175"/>
      <c r="I72" s="175"/>
      <c r="J72" s="175"/>
      <c r="K72" s="175"/>
      <c r="L72" s="175"/>
      <c r="M72" s="173"/>
      <c r="N72" s="173"/>
      <c r="O72" s="173"/>
      <c r="P72" s="173"/>
      <c r="Q72" s="132"/>
      <c r="R72" s="51"/>
      <c r="S72" s="51"/>
      <c r="T72" s="51"/>
    </row>
    <row r="73" spans="1:20" s="15" customFormat="1" ht="28.5" customHeight="1">
      <c r="A73" s="173"/>
      <c r="B73" s="173"/>
      <c r="C73" s="171"/>
      <c r="D73" s="171"/>
      <c r="E73" s="171"/>
      <c r="F73" s="175"/>
      <c r="G73" s="175"/>
      <c r="H73" s="175"/>
      <c r="I73" s="175"/>
      <c r="J73" s="175"/>
      <c r="K73" s="175"/>
      <c r="L73" s="175"/>
      <c r="M73" s="173"/>
      <c r="N73" s="173"/>
      <c r="O73" s="173"/>
      <c r="P73" s="173"/>
      <c r="Q73" s="132"/>
      <c r="R73" s="51"/>
      <c r="S73" s="51"/>
      <c r="T73" s="51"/>
    </row>
    <row r="74" spans="1:20" s="15" customFormat="1" ht="28.5" customHeight="1">
      <c r="A74" s="182"/>
      <c r="B74" s="182"/>
      <c r="C74" s="171"/>
      <c r="D74" s="171"/>
      <c r="E74" s="171"/>
      <c r="F74" s="175"/>
      <c r="G74" s="175"/>
      <c r="H74" s="175"/>
      <c r="I74" s="175"/>
      <c r="J74" s="175"/>
      <c r="K74" s="175"/>
      <c r="L74" s="175"/>
      <c r="M74" s="173"/>
      <c r="N74" s="173"/>
      <c r="O74" s="173"/>
      <c r="P74" s="173"/>
      <c r="Q74" s="132"/>
      <c r="R74" s="51"/>
      <c r="S74" s="51"/>
      <c r="T74" s="51"/>
    </row>
    <row r="75" spans="1:20" s="15" customFormat="1" ht="21" customHeight="1">
      <c r="A75" s="768" t="s">
        <v>11</v>
      </c>
      <c r="B75" s="768"/>
      <c r="C75" s="171"/>
      <c r="D75" s="171"/>
      <c r="E75" s="171"/>
      <c r="F75" s="175"/>
      <c r="G75" s="175"/>
      <c r="H75" s="175"/>
      <c r="I75" s="175"/>
      <c r="J75" s="175"/>
      <c r="K75" s="175"/>
      <c r="L75" s="175"/>
      <c r="M75" s="173"/>
      <c r="N75" s="173"/>
      <c r="O75" s="173"/>
      <c r="P75" s="173"/>
      <c r="Q75" s="132"/>
      <c r="R75" s="51"/>
      <c r="S75" s="51"/>
      <c r="T75" s="51"/>
    </row>
    <row r="76" spans="1:20" s="15" customFormat="1" ht="21" customHeight="1">
      <c r="A76" s="176"/>
      <c r="B76" s="176"/>
      <c r="C76" s="171"/>
      <c r="D76" s="171"/>
      <c r="E76" s="171"/>
      <c r="F76" s="175"/>
      <c r="G76" s="175"/>
      <c r="H76" s="175"/>
      <c r="I76" s="175"/>
      <c r="J76" s="175"/>
      <c r="K76" s="175"/>
      <c r="L76" s="175"/>
      <c r="M76" s="171"/>
      <c r="N76" s="171"/>
      <c r="O76" s="171"/>
      <c r="P76" s="171"/>
      <c r="Q76" s="132"/>
      <c r="R76" s="51"/>
      <c r="S76" s="51"/>
      <c r="T76" s="51"/>
    </row>
    <row r="77" spans="1:20" s="15" customFormat="1" ht="21" customHeight="1">
      <c r="A77" s="176"/>
      <c r="B77" s="176"/>
      <c r="C77" s="171"/>
      <c r="D77" s="171"/>
      <c r="E77" s="171"/>
      <c r="F77" s="175"/>
      <c r="G77" s="175"/>
      <c r="H77" s="175"/>
      <c r="I77" s="175"/>
      <c r="J77" s="175"/>
      <c r="K77" s="175"/>
      <c r="L77" s="175"/>
      <c r="M77" s="171"/>
      <c r="N77" s="171"/>
      <c r="O77" s="171"/>
      <c r="P77" s="171"/>
      <c r="Q77" s="132"/>
      <c r="R77" s="51"/>
      <c r="S77" s="51"/>
      <c r="T77" s="51"/>
    </row>
    <row r="78" spans="1:20" s="15" customFormat="1" ht="27" customHeight="1">
      <c r="A78" s="176"/>
      <c r="B78" s="176"/>
      <c r="C78" s="171"/>
      <c r="D78" s="171"/>
      <c r="E78" s="171"/>
      <c r="F78" s="175"/>
      <c r="G78" s="175"/>
      <c r="H78" s="175"/>
      <c r="I78" s="175"/>
      <c r="J78" s="175"/>
      <c r="K78" s="175"/>
      <c r="L78" s="175"/>
      <c r="M78" s="171"/>
      <c r="N78" s="171"/>
      <c r="O78" s="171"/>
      <c r="P78" s="171"/>
      <c r="Q78" s="171"/>
      <c r="R78" s="51"/>
      <c r="S78" s="51"/>
      <c r="T78" s="51"/>
    </row>
    <row r="79" spans="1:20" s="15" customFormat="1" ht="21" customHeight="1">
      <c r="A79" s="176"/>
      <c r="B79" s="176"/>
      <c r="C79" s="171"/>
      <c r="D79" s="171"/>
      <c r="E79" s="171"/>
      <c r="F79" s="175"/>
      <c r="G79" s="175"/>
      <c r="H79" s="175"/>
      <c r="I79" s="175"/>
      <c r="J79" s="175"/>
      <c r="K79" s="175"/>
      <c r="L79" s="175"/>
      <c r="M79" s="171"/>
      <c r="N79" s="171"/>
      <c r="O79" s="171"/>
      <c r="P79" s="171"/>
      <c r="Q79" s="171"/>
      <c r="R79" s="51"/>
      <c r="S79" s="51"/>
      <c r="T79" s="51"/>
    </row>
    <row r="80" spans="1:20" s="15" customFormat="1" ht="21" customHeight="1">
      <c r="A80" s="176"/>
      <c r="B80" s="176"/>
      <c r="C80" s="171"/>
      <c r="D80" s="171"/>
      <c r="E80" s="171"/>
      <c r="F80" s="175"/>
      <c r="G80" s="175"/>
      <c r="H80" s="175"/>
      <c r="I80" s="175"/>
      <c r="J80" s="175"/>
      <c r="K80" s="175"/>
      <c r="L80" s="175"/>
      <c r="M80" s="171"/>
      <c r="N80" s="171"/>
      <c r="O80" s="171"/>
      <c r="P80" s="171"/>
      <c r="Q80" s="171"/>
      <c r="R80" s="51"/>
      <c r="S80" s="51"/>
      <c r="T80" s="51"/>
    </row>
    <row r="81" spans="1:20" s="15" customFormat="1" ht="21" customHeight="1">
      <c r="A81" s="176"/>
      <c r="B81" s="176"/>
      <c r="C81" s="171"/>
      <c r="D81" s="171"/>
      <c r="E81" s="171"/>
      <c r="F81" s="175"/>
      <c r="G81" s="175"/>
      <c r="H81" s="175"/>
      <c r="I81" s="175"/>
      <c r="J81" s="175"/>
      <c r="K81" s="175"/>
      <c r="L81" s="175"/>
      <c r="M81" s="171"/>
      <c r="N81" s="171"/>
      <c r="O81" s="171"/>
      <c r="P81" s="171"/>
      <c r="Q81" s="171"/>
      <c r="R81" s="51"/>
      <c r="S81" s="51"/>
      <c r="T81" s="51"/>
    </row>
    <row r="82" spans="1:20" s="15" customFormat="1" ht="21" customHeight="1">
      <c r="A82" s="176"/>
      <c r="B82" s="176"/>
      <c r="C82" s="171"/>
      <c r="D82" s="171"/>
      <c r="E82" s="171"/>
      <c r="F82" s="175"/>
      <c r="G82" s="175"/>
      <c r="H82" s="175"/>
      <c r="I82" s="175"/>
      <c r="J82" s="175"/>
      <c r="K82" s="175"/>
      <c r="L82" s="175"/>
      <c r="M82" s="171"/>
      <c r="N82" s="171"/>
      <c r="O82" s="171"/>
      <c r="P82" s="171"/>
      <c r="Q82" s="171"/>
      <c r="R82" s="51"/>
      <c r="S82" s="51"/>
      <c r="T82" s="51"/>
    </row>
    <row r="83" spans="1:20" ht="21" customHeight="1">
      <c r="A83" s="15"/>
      <c r="B83" s="15"/>
      <c r="C83" s="171"/>
      <c r="D83" s="171"/>
      <c r="E83" s="171"/>
      <c r="F83" s="175"/>
      <c r="G83" s="175"/>
      <c r="H83" s="175"/>
      <c r="I83" s="175"/>
      <c r="J83" s="175"/>
      <c r="K83" s="175"/>
      <c r="L83" s="175"/>
      <c r="M83" s="171"/>
      <c r="N83" s="171"/>
      <c r="O83" s="171"/>
      <c r="P83" s="171"/>
      <c r="Q83" s="171"/>
    </row>
    <row r="84" spans="1:20" ht="21" customHeight="1">
      <c r="A84" s="15"/>
      <c r="B84" s="15"/>
      <c r="C84" s="171"/>
      <c r="D84" s="171"/>
      <c r="E84" s="171"/>
      <c r="F84" s="175"/>
      <c r="G84" s="175"/>
      <c r="H84" s="175"/>
      <c r="I84" s="175"/>
      <c r="J84" s="175"/>
      <c r="K84" s="175"/>
      <c r="L84" s="175"/>
      <c r="M84" s="171"/>
      <c r="N84" s="171"/>
      <c r="O84" s="171"/>
      <c r="P84" s="171"/>
      <c r="Q84" s="171"/>
    </row>
    <row r="85" spans="1:20" ht="21" customHeight="1">
      <c r="A85" s="15"/>
      <c r="B85" s="15"/>
      <c r="F85" s="175"/>
      <c r="G85" s="175"/>
      <c r="H85" s="175"/>
      <c r="I85" s="175"/>
      <c r="J85" s="175"/>
      <c r="K85" s="175"/>
      <c r="L85" s="175"/>
    </row>
    <row r="86" spans="1:20" ht="15.75" customHeight="1">
      <c r="A86" s="15"/>
      <c r="B86" s="15"/>
      <c r="F86" s="175"/>
      <c r="G86" s="175"/>
      <c r="H86" s="175"/>
      <c r="I86" s="175"/>
      <c r="J86" s="175"/>
      <c r="K86" s="175"/>
      <c r="L86" s="175"/>
    </row>
    <row r="87" spans="1:20">
      <c r="A87" s="15"/>
      <c r="B87" s="15"/>
      <c r="F87" s="175"/>
      <c r="G87" s="175"/>
      <c r="H87" s="175"/>
      <c r="I87" s="175"/>
      <c r="J87" s="175"/>
      <c r="K87" s="175"/>
      <c r="L87" s="175"/>
    </row>
    <row r="88" spans="1:20">
      <c r="A88" s="15"/>
      <c r="B88" s="15"/>
      <c r="F88" s="175"/>
      <c r="G88" s="175"/>
      <c r="H88" s="175"/>
      <c r="I88" s="175"/>
      <c r="J88" s="175"/>
      <c r="K88" s="175"/>
      <c r="L88" s="175"/>
    </row>
    <row r="89" spans="1:20">
      <c r="A89" s="15"/>
      <c r="B89" s="15"/>
      <c r="F89" s="175"/>
      <c r="G89" s="175"/>
      <c r="H89" s="175"/>
      <c r="I89" s="175"/>
      <c r="J89" s="175"/>
      <c r="K89" s="175"/>
      <c r="L89" s="175"/>
    </row>
    <row r="90" spans="1:20">
      <c r="A90" s="15"/>
      <c r="B90" s="15"/>
      <c r="F90" s="175"/>
      <c r="G90" s="175"/>
      <c r="H90" s="175"/>
      <c r="I90" s="175"/>
      <c r="J90" s="175"/>
      <c r="K90" s="175"/>
      <c r="L90" s="175"/>
    </row>
    <row r="91" spans="1:20">
      <c r="A91" s="15"/>
      <c r="B91" s="15"/>
      <c r="F91" s="175"/>
      <c r="G91" s="175"/>
      <c r="H91" s="175"/>
      <c r="I91" s="175"/>
      <c r="J91" s="175"/>
      <c r="K91" s="175"/>
      <c r="L91" s="175"/>
    </row>
    <row r="92" spans="1:20">
      <c r="A92" s="15"/>
      <c r="B92" s="15"/>
      <c r="F92" s="175"/>
      <c r="G92" s="175"/>
      <c r="H92" s="175"/>
      <c r="I92" s="175"/>
      <c r="J92" s="175"/>
      <c r="K92" s="175"/>
      <c r="L92" s="175"/>
    </row>
    <row r="93" spans="1:20">
      <c r="F93" s="175"/>
      <c r="G93" s="175"/>
      <c r="H93" s="175"/>
      <c r="I93" s="175"/>
      <c r="J93" s="175"/>
      <c r="K93" s="175"/>
      <c r="L93" s="175"/>
    </row>
    <row r="94" spans="1:20">
      <c r="F94" s="175"/>
      <c r="G94" s="175"/>
      <c r="H94" s="175"/>
      <c r="I94" s="175"/>
      <c r="J94" s="175"/>
      <c r="K94" s="175"/>
      <c r="L94" s="175"/>
    </row>
    <row r="95" spans="1:20">
      <c r="F95" s="175"/>
      <c r="G95" s="175"/>
      <c r="H95" s="175"/>
      <c r="I95" s="175"/>
      <c r="J95" s="175"/>
      <c r="K95" s="175"/>
      <c r="L95" s="175"/>
    </row>
    <row r="96" spans="1:20">
      <c r="F96" s="175"/>
      <c r="G96" s="175"/>
      <c r="H96" s="175"/>
      <c r="I96" s="175"/>
      <c r="J96" s="175"/>
      <c r="K96" s="175"/>
      <c r="L96" s="175"/>
    </row>
  </sheetData>
  <mergeCells count="3">
    <mergeCell ref="C1:P1"/>
    <mergeCell ref="C2:P2"/>
    <mergeCell ref="A75:B75"/>
  </mergeCells>
  <printOptions horizontalCentered="1" verticalCentered="1"/>
  <pageMargins left="0.25" right="0.25" top="0.25" bottom="0.5" header="0" footer="0.25"/>
  <pageSetup scale="31" orientation="landscape" horizontalDpi="300" verticalDpi="300" r:id="rId1"/>
  <headerFooter alignWithMargins="0">
    <oddFooter>&amp;L&amp;F  &amp;A&amp;R&amp;D</oddFooter>
  </headerFooter>
  <rowBreaks count="1" manualBreakCount="1">
    <brk id="55" max="22" man="1"/>
  </rowBreaks>
  <colBreaks count="1" manualBreakCount="1">
    <brk id="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C34EA-F4C0-4395-8048-1510E73A26CD}">
  <sheetPr syncVertical="1" syncRef="D54" transitionEvaluation="1">
    <tabColor rgb="FFFF66FF"/>
    <pageSetUpPr fitToPage="1"/>
  </sheetPr>
  <dimension ref="A1:AF90"/>
  <sheetViews>
    <sheetView zoomScale="46" zoomScaleNormal="46" workbookViewId="0">
      <pane xSplit="3" ySplit="6" topLeftCell="D54" activePane="bottomRight" state="frozen"/>
      <selection pane="topRight" activeCell="D1" sqref="D1"/>
      <selection pane="bottomLeft" activeCell="A8" sqref="A8"/>
      <selection pane="bottomRight" activeCell="A15" sqref="A15:C15"/>
    </sheetView>
  </sheetViews>
  <sheetFormatPr defaultColWidth="7.77734375" defaultRowHeight="26.25"/>
  <cols>
    <col min="1" max="1" width="39.88671875" style="22" customWidth="1"/>
    <col min="2" max="2" width="19" style="22" customWidth="1"/>
    <col min="3" max="3" width="14.21875" style="22" customWidth="1"/>
    <col min="4" max="15" width="18.21875" style="22" customWidth="1"/>
    <col min="16" max="16" width="3.33203125" style="15" customWidth="1"/>
    <col min="17" max="17" width="21.5546875" style="22" customWidth="1"/>
    <col min="18" max="18" width="3.33203125" style="22" customWidth="1"/>
    <col min="19" max="19" width="23" style="44" hidden="1" customWidth="1"/>
    <col min="20" max="20" width="3.33203125" style="22" customWidth="1"/>
    <col min="21" max="21" width="23.77734375" style="44" hidden="1" customWidth="1"/>
    <col min="22" max="22" width="2.77734375" style="44" customWidth="1"/>
    <col min="23" max="23" width="12.77734375" hidden="1" customWidth="1"/>
    <col min="24" max="24" width="2.6640625" style="22" hidden="1" customWidth="1"/>
    <col min="25" max="25" width="23.77734375" style="44" hidden="1" customWidth="1"/>
    <col min="26" max="26" width="21.5546875" style="22" hidden="1" customWidth="1"/>
    <col min="27" max="27" width="14.88671875" style="22" hidden="1" customWidth="1"/>
    <col min="28" max="31" width="0" style="22" hidden="1" customWidth="1"/>
    <col min="32" max="32" width="18.44140625" style="22" hidden="1" customWidth="1"/>
    <col min="33" max="16384" width="7.77734375" style="22"/>
  </cols>
  <sheetData>
    <row r="1" spans="1:32" s="5" customFormat="1" ht="50.45" customHeight="1">
      <c r="D1" s="755" t="s">
        <v>113</v>
      </c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R1" s="3"/>
      <c r="S1" s="4"/>
      <c r="T1" s="3"/>
      <c r="U1" s="3"/>
      <c r="V1" s="4"/>
      <c r="Y1" s="3"/>
    </row>
    <row r="2" spans="1:32" s="5" customFormat="1" ht="45" customHeight="1">
      <c r="A2" s="756" t="s">
        <v>323</v>
      </c>
      <c r="B2" s="756"/>
      <c r="C2" s="580">
        <f>'[2]2021 Benefits Wk '!$L$1</f>
        <v>2022</v>
      </c>
      <c r="D2" s="745" t="s">
        <v>343</v>
      </c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746"/>
      <c r="R2" s="3"/>
      <c r="S2" s="4"/>
      <c r="T2" s="3"/>
      <c r="U2" s="3"/>
      <c r="V2" s="4"/>
      <c r="Y2" s="3"/>
    </row>
    <row r="3" spans="1:32" s="5" customFormat="1" ht="46.9" customHeight="1" thickBot="1">
      <c r="A3" s="757" t="s">
        <v>320</v>
      </c>
      <c r="B3" s="757"/>
      <c r="C3" s="758"/>
      <c r="D3" s="745" t="s">
        <v>345</v>
      </c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746"/>
      <c r="Q3" s="746"/>
      <c r="R3" s="8"/>
      <c r="S3" s="220"/>
      <c r="T3" s="8"/>
      <c r="V3" s="220"/>
      <c r="X3" s="220"/>
    </row>
    <row r="4" spans="1:32" s="5" customFormat="1" ht="54.6" customHeight="1">
      <c r="A4" s="759"/>
      <c r="B4" s="759"/>
      <c r="C4" s="760"/>
      <c r="D4" s="761" t="s">
        <v>324</v>
      </c>
      <c r="E4" s="762"/>
      <c r="F4" s="762"/>
      <c r="G4" s="763"/>
      <c r="H4" s="593" t="s">
        <v>7</v>
      </c>
      <c r="I4" s="593" t="s">
        <v>7</v>
      </c>
      <c r="J4" s="593" t="s">
        <v>7</v>
      </c>
      <c r="K4" s="593" t="s">
        <v>7</v>
      </c>
      <c r="L4" s="593" t="s">
        <v>7</v>
      </c>
      <c r="M4" s="593" t="s">
        <v>7</v>
      </c>
      <c r="N4" s="593" t="s">
        <v>7</v>
      </c>
      <c r="O4" s="593" t="s">
        <v>7</v>
      </c>
      <c r="P4" s="11"/>
      <c r="Q4" s="764" t="s">
        <v>315</v>
      </c>
      <c r="R4" s="8"/>
      <c r="S4" s="220"/>
      <c r="T4" s="8"/>
      <c r="U4" s="747" t="s">
        <v>314</v>
      </c>
      <c r="V4" s="220"/>
      <c r="X4" s="220"/>
      <c r="Y4" s="766" t="s">
        <v>316</v>
      </c>
    </row>
    <row r="5" spans="1:32" ht="55.15" customHeight="1" thickBot="1">
      <c r="A5" s="303" t="s">
        <v>344</v>
      </c>
      <c r="B5" s="279" t="s">
        <v>321</v>
      </c>
      <c r="C5" s="280" t="s">
        <v>11</v>
      </c>
      <c r="D5" s="581" t="s">
        <v>325</v>
      </c>
      <c r="E5" s="581" t="s">
        <v>325</v>
      </c>
      <c r="F5" s="581" t="s">
        <v>325</v>
      </c>
      <c r="G5" s="581" t="s">
        <v>325</v>
      </c>
      <c r="H5" s="594" t="s">
        <v>306</v>
      </c>
      <c r="I5" s="594" t="s">
        <v>306</v>
      </c>
      <c r="J5" s="594" t="s">
        <v>306</v>
      </c>
      <c r="K5" s="594" t="s">
        <v>306</v>
      </c>
      <c r="L5" s="594" t="s">
        <v>306</v>
      </c>
      <c r="M5" s="594" t="s">
        <v>306</v>
      </c>
      <c r="N5" s="594" t="s">
        <v>306</v>
      </c>
      <c r="O5" s="594" t="s">
        <v>306</v>
      </c>
      <c r="P5" s="237"/>
      <c r="Q5" s="765"/>
      <c r="R5" s="225"/>
      <c r="S5" s="225"/>
      <c r="T5" s="225"/>
      <c r="U5" s="748"/>
      <c r="V5" s="225"/>
      <c r="X5" s="225"/>
      <c r="Y5" s="767"/>
    </row>
    <row r="6" spans="1:32" s="5" customFormat="1" ht="53.25" thickBot="1">
      <c r="A6" s="34" t="s">
        <v>15</v>
      </c>
      <c r="B6" s="34"/>
      <c r="C6" s="34"/>
      <c r="D6" s="586" t="s">
        <v>82</v>
      </c>
      <c r="E6" s="586" t="s">
        <v>83</v>
      </c>
      <c r="F6" s="586" t="s">
        <v>84</v>
      </c>
      <c r="G6" s="586" t="s">
        <v>85</v>
      </c>
      <c r="H6" s="582" t="s">
        <v>20</v>
      </c>
      <c r="I6" s="582" t="s">
        <v>21</v>
      </c>
      <c r="J6" s="582" t="s">
        <v>22</v>
      </c>
      <c r="K6" s="582" t="s">
        <v>23</v>
      </c>
      <c r="L6" s="582" t="s">
        <v>24</v>
      </c>
      <c r="M6" s="582" t="s">
        <v>25</v>
      </c>
      <c r="N6" s="582" t="s">
        <v>26</v>
      </c>
      <c r="O6" s="582" t="s">
        <v>27</v>
      </c>
      <c r="P6" s="11"/>
      <c r="Q6" s="238" t="s">
        <v>148</v>
      </c>
      <c r="R6" s="239"/>
      <c r="S6" s="504" t="s">
        <v>30</v>
      </c>
      <c r="T6" s="239"/>
      <c r="U6" s="499" t="s">
        <v>303</v>
      </c>
      <c r="V6" s="41"/>
      <c r="Y6" s="499" t="s">
        <v>303</v>
      </c>
    </row>
    <row r="7" spans="1:32" s="44" customFormat="1" ht="34.5" customHeight="1">
      <c r="A7" s="453" t="s">
        <v>170</v>
      </c>
      <c r="B7" s="241"/>
      <c r="C7" s="240"/>
      <c r="D7" s="587">
        <v>0</v>
      </c>
      <c r="E7" s="587">
        <v>533</v>
      </c>
      <c r="F7" s="587">
        <v>5073</v>
      </c>
      <c r="G7" s="587">
        <v>6319.5</v>
      </c>
      <c r="H7" s="583">
        <v>7500</v>
      </c>
      <c r="I7" s="584">
        <v>24905</v>
      </c>
      <c r="J7" s="584">
        <v>36900</v>
      </c>
      <c r="K7" s="584">
        <v>16475</v>
      </c>
      <c r="L7" s="584">
        <v>20800</v>
      </c>
      <c r="M7" s="584">
        <v>18070</v>
      </c>
      <c r="N7" s="584">
        <v>6385</v>
      </c>
      <c r="O7" s="585">
        <v>0</v>
      </c>
      <c r="P7" s="229"/>
      <c r="Q7" s="230">
        <f t="shared" ref="Q7:Q11" si="0">SUM(D7:O7)</f>
        <v>142960.5</v>
      </c>
      <c r="R7" s="243" t="s">
        <v>11</v>
      </c>
      <c r="S7" s="503">
        <f>+Q7-U7</f>
        <v>-19739.5</v>
      </c>
      <c r="T7" s="243" t="s">
        <v>11</v>
      </c>
      <c r="U7" s="230">
        <v>162700</v>
      </c>
      <c r="V7" s="51"/>
      <c r="Y7" s="230">
        <f>'2021 TOC Monthly R&amp;E @ 12-31'!N13</f>
        <v>53426.52</v>
      </c>
    </row>
    <row r="8" spans="1:32" s="44" customFormat="1" ht="35.1" customHeight="1">
      <c r="A8" s="453" t="s">
        <v>171</v>
      </c>
      <c r="B8" s="241"/>
      <c r="C8" s="240"/>
      <c r="D8" s="587">
        <v>0</v>
      </c>
      <c r="E8" s="587">
        <v>1295.2</v>
      </c>
      <c r="F8" s="587">
        <v>8613.2000000000007</v>
      </c>
      <c r="G8" s="587">
        <f>11806-1</f>
        <v>11805</v>
      </c>
      <c r="H8" s="583">
        <v>12655</v>
      </c>
      <c r="I8" s="584">
        <v>29940</v>
      </c>
      <c r="J8" s="584">
        <v>39850</v>
      </c>
      <c r="K8" s="584">
        <v>22720</v>
      </c>
      <c r="L8" s="584">
        <v>40960</v>
      </c>
      <c r="M8" s="584">
        <v>33310</v>
      </c>
      <c r="N8" s="584">
        <v>12430</v>
      </c>
      <c r="O8" s="510">
        <v>0</v>
      </c>
      <c r="P8" s="229"/>
      <c r="Q8" s="230">
        <f t="shared" si="0"/>
        <v>213578.4</v>
      </c>
      <c r="R8" s="243" t="s">
        <v>11</v>
      </c>
      <c r="S8" s="502">
        <f>+Q8-U8</f>
        <v>-321.60000000000582</v>
      </c>
      <c r="T8" s="243" t="s">
        <v>11</v>
      </c>
      <c r="U8" s="230">
        <v>213900</v>
      </c>
      <c r="V8" s="51"/>
      <c r="Y8" s="230">
        <f>'2021 TOC Monthly R&amp;E @ 12-31'!N14</f>
        <v>108451.87</v>
      </c>
    </row>
    <row r="9" spans="1:32" s="44" customFormat="1" ht="35.1" customHeight="1">
      <c r="A9" s="622" t="s">
        <v>336</v>
      </c>
      <c r="B9" s="623"/>
      <c r="C9" s="240"/>
      <c r="D9" s="587"/>
      <c r="E9" s="587"/>
      <c r="F9" s="587"/>
      <c r="G9" s="587"/>
      <c r="H9" s="731">
        <v>14700</v>
      </c>
      <c r="I9" s="584"/>
      <c r="J9" s="584"/>
      <c r="K9" s="584"/>
      <c r="L9" s="584"/>
      <c r="M9" s="584"/>
      <c r="N9" s="584"/>
      <c r="O9" s="510"/>
      <c r="P9" s="229"/>
      <c r="Q9" s="230">
        <f t="shared" si="0"/>
        <v>14700</v>
      </c>
      <c r="R9" s="243"/>
      <c r="S9" s="502"/>
      <c r="T9" s="243"/>
      <c r="U9" s="230"/>
      <c r="V9" s="51"/>
      <c r="Y9" s="230"/>
    </row>
    <row r="10" spans="1:32" s="44" customFormat="1" ht="34.5" customHeight="1">
      <c r="A10" s="466" t="s">
        <v>172</v>
      </c>
      <c r="B10" s="241"/>
      <c r="C10" s="240"/>
      <c r="D10" s="588">
        <v>0</v>
      </c>
      <c r="E10" s="588">
        <v>0</v>
      </c>
      <c r="F10" s="588">
        <v>0</v>
      </c>
      <c r="G10" s="588">
        <v>0</v>
      </c>
      <c r="H10" s="584">
        <v>200</v>
      </c>
      <c r="I10" s="584">
        <v>2200</v>
      </c>
      <c r="J10" s="584">
        <v>1400</v>
      </c>
      <c r="K10" s="585">
        <v>0</v>
      </c>
      <c r="L10" s="585">
        <v>0</v>
      </c>
      <c r="M10" s="585">
        <v>0</v>
      </c>
      <c r="N10" s="585">
        <v>0</v>
      </c>
      <c r="O10" s="510">
        <v>0</v>
      </c>
      <c r="P10" s="229"/>
      <c r="Q10" s="230">
        <f t="shared" si="0"/>
        <v>3800</v>
      </c>
      <c r="R10" s="243" t="s">
        <v>11</v>
      </c>
      <c r="S10" s="502">
        <f>+Q10-U10</f>
        <v>-8900</v>
      </c>
      <c r="T10" s="243" t="s">
        <v>11</v>
      </c>
      <c r="U10" s="230">
        <v>12700</v>
      </c>
      <c r="V10" s="51"/>
      <c r="Y10" s="230">
        <f>SUM('2021 TOC Monthly R&amp;E @ 12-31'!N16,'2021 TOC Monthly R&amp;E @ 12-31'!N21)+'2021 TOC Monthly R&amp;E @ 12-31'!N15</f>
        <v>79389.17</v>
      </c>
      <c r="Z10" s="453" t="s">
        <v>318</v>
      </c>
    </row>
    <row r="11" spans="1:32" s="44" customFormat="1" ht="35.1" customHeight="1">
      <c r="A11" s="466" t="s">
        <v>317</v>
      </c>
      <c r="B11" s="466"/>
      <c r="C11" s="240"/>
      <c r="D11" s="588">
        <v>0</v>
      </c>
      <c r="E11" s="587">
        <v>-91.41</v>
      </c>
      <c r="F11" s="587">
        <v>-392.56</v>
      </c>
      <c r="G11" s="588">
        <v>0</v>
      </c>
      <c r="H11" s="510">
        <f>'[1]Input Wrksht '!J10</f>
        <v>0</v>
      </c>
      <c r="I11" s="510">
        <f>'[1]Input Wrksht '!K10</f>
        <v>0</v>
      </c>
      <c r="J11" s="510">
        <f>'[1]Input Wrksht '!L10</f>
        <v>0</v>
      </c>
      <c r="K11" s="510">
        <v>0</v>
      </c>
      <c r="L11" s="510">
        <v>0</v>
      </c>
      <c r="M11" s="510">
        <v>0</v>
      </c>
      <c r="N11" s="510">
        <v>0</v>
      </c>
      <c r="O11" s="510">
        <v>0</v>
      </c>
      <c r="P11" s="229"/>
      <c r="Q11" s="230">
        <f t="shared" si="0"/>
        <v>-483.97</v>
      </c>
      <c r="R11" s="243" t="s">
        <v>11</v>
      </c>
      <c r="S11" s="502">
        <f>+Q11-U11</f>
        <v>-483.97</v>
      </c>
      <c r="T11" s="243" t="s">
        <v>11</v>
      </c>
      <c r="U11" s="230">
        <v>0</v>
      </c>
      <c r="V11" s="51"/>
      <c r="Y11" s="230">
        <f>'2021 TOC Monthly R&amp;E @ 12-31'!N22</f>
        <v>-3691.92</v>
      </c>
    </row>
    <row r="12" spans="1:32" s="44" customFormat="1" ht="35.1" customHeight="1">
      <c r="A12" s="22"/>
      <c r="B12" s="56"/>
      <c r="C12" s="56"/>
      <c r="D12" s="321"/>
      <c r="E12" s="321"/>
      <c r="F12" s="321"/>
      <c r="G12" s="321"/>
      <c r="H12" s="56"/>
      <c r="I12" s="56"/>
      <c r="J12" s="56"/>
      <c r="K12" s="56"/>
      <c r="L12" s="56"/>
      <c r="M12" s="56"/>
      <c r="N12" s="56"/>
      <c r="O12" s="56"/>
      <c r="P12" s="56"/>
      <c r="R12" s="243" t="s">
        <v>11</v>
      </c>
      <c r="S12" s="56" t="s">
        <v>11</v>
      </c>
      <c r="T12" s="243" t="s">
        <v>11</v>
      </c>
      <c r="V12" s="51"/>
      <c r="X12" s="56" t="s">
        <v>11</v>
      </c>
    </row>
    <row r="13" spans="1:32" ht="25.5" customHeight="1" thickBot="1">
      <c r="A13" s="4"/>
      <c r="B13" s="62" t="s">
        <v>37</v>
      </c>
      <c r="C13" s="62"/>
      <c r="D13" s="569">
        <f t="shared" ref="D13:N13" si="1">SUM(D7:D12)</f>
        <v>0</v>
      </c>
      <c r="E13" s="569">
        <f t="shared" si="1"/>
        <v>1736.79</v>
      </c>
      <c r="F13" s="569">
        <f t="shared" si="1"/>
        <v>13293.640000000001</v>
      </c>
      <c r="G13" s="569">
        <f t="shared" si="1"/>
        <v>18124.5</v>
      </c>
      <c r="H13" s="245">
        <f>SUM(H7:H12)</f>
        <v>35055</v>
      </c>
      <c r="I13" s="507">
        <f t="shared" si="1"/>
        <v>57045</v>
      </c>
      <c r="J13" s="507">
        <f t="shared" si="1"/>
        <v>78150</v>
      </c>
      <c r="K13" s="245">
        <f t="shared" si="1"/>
        <v>39195</v>
      </c>
      <c r="L13" s="245">
        <f t="shared" si="1"/>
        <v>61760</v>
      </c>
      <c r="M13" s="245">
        <f t="shared" si="1"/>
        <v>51380</v>
      </c>
      <c r="N13" s="245">
        <f t="shared" si="1"/>
        <v>18815</v>
      </c>
      <c r="O13" s="246">
        <f>SUM(O7:O11)</f>
        <v>0</v>
      </c>
      <c r="P13" s="229"/>
      <c r="Q13" s="231">
        <f>SUM(Q7:Q11)</f>
        <v>374554.93000000005</v>
      </c>
      <c r="R13" s="243" t="s">
        <v>11</v>
      </c>
      <c r="S13" s="505">
        <f>ROUND((SUM(S7:S12)),-1)</f>
        <v>-29450</v>
      </c>
      <c r="T13" s="243" t="s">
        <v>11</v>
      </c>
      <c r="U13" s="283">
        <f>ROUND((SUM(U7:U12)),-1)</f>
        <v>389300</v>
      </c>
      <c r="V13" s="51"/>
      <c r="X13" s="4"/>
      <c r="Y13" s="283">
        <f>ROUND((SUM(Y7:Y12)),-1)</f>
        <v>237580</v>
      </c>
      <c r="AA13" s="613">
        <f>Q13-U13</f>
        <v>-14745.069999999949</v>
      </c>
      <c r="AF13" s="624">
        <f>SUM(D13:O13)</f>
        <v>374554.93</v>
      </c>
    </row>
    <row r="14" spans="1:32" s="4" customFormat="1" ht="19.149999999999999" customHeight="1" thickTop="1">
      <c r="A14" s="434"/>
      <c r="B14" s="434"/>
      <c r="C14" s="434"/>
      <c r="D14" s="434"/>
      <c r="E14" s="434"/>
      <c r="F14" s="434"/>
      <c r="G14" s="434"/>
      <c r="H14" s="434"/>
      <c r="I14" s="435"/>
      <c r="J14" s="434"/>
      <c r="K14" s="434"/>
      <c r="L14" s="434"/>
      <c r="M14" s="434"/>
      <c r="N14" s="434"/>
      <c r="O14" s="434"/>
      <c r="P14" s="436"/>
      <c r="Q14" s="437"/>
      <c r="R14" s="243" t="s">
        <v>11</v>
      </c>
      <c r="S14" s="243" t="s">
        <v>11</v>
      </c>
      <c r="T14" s="243" t="s">
        <v>11</v>
      </c>
      <c r="U14" s="243" t="s">
        <v>11</v>
      </c>
      <c r="V14" s="243" t="s">
        <v>11</v>
      </c>
      <c r="X14" s="243" t="s">
        <v>11</v>
      </c>
      <c r="Y14" s="243" t="s">
        <v>11</v>
      </c>
    </row>
    <row r="15" spans="1:32" ht="30" customHeight="1">
      <c r="A15" s="596" t="s">
        <v>327</v>
      </c>
      <c r="B15" s="461"/>
      <c r="C15" s="233"/>
      <c r="D15" s="571">
        <v>0</v>
      </c>
      <c r="E15" s="571">
        <v>40</v>
      </c>
      <c r="F15" s="571">
        <v>125</v>
      </c>
      <c r="G15" s="571">
        <v>150</v>
      </c>
      <c r="H15" s="512">
        <v>350</v>
      </c>
      <c r="I15" s="512">
        <v>1000</v>
      </c>
      <c r="J15" s="512">
        <v>1200</v>
      </c>
      <c r="K15" s="512">
        <v>825</v>
      </c>
      <c r="L15" s="512">
        <v>750</v>
      </c>
      <c r="M15" s="512">
        <v>800</v>
      </c>
      <c r="N15" s="512">
        <v>350</v>
      </c>
      <c r="O15" s="604">
        <v>50</v>
      </c>
      <c r="P15" s="11"/>
      <c r="Q15" s="511">
        <f>SUM(D15:O15)</f>
        <v>5640</v>
      </c>
      <c r="R15" s="243" t="s">
        <v>11</v>
      </c>
      <c r="S15" s="22"/>
      <c r="T15" s="243" t="s">
        <v>11</v>
      </c>
      <c r="U15" s="603">
        <v>5640</v>
      </c>
      <c r="V15" s="85"/>
      <c r="Y15" s="284" t="s">
        <v>11</v>
      </c>
    </row>
    <row r="16" spans="1:32" ht="48.6" customHeight="1">
      <c r="A16" s="252"/>
      <c r="B16" s="281"/>
      <c r="C16" s="282"/>
      <c r="D16" s="282"/>
      <c r="E16" s="282"/>
      <c r="F16" s="282"/>
      <c r="G16" s="282"/>
      <c r="H16"/>
      <c r="I16" s="290"/>
      <c r="J16" s="291"/>
      <c r="K16" s="290"/>
      <c r="L16" s="290"/>
      <c r="M16" s="290"/>
      <c r="N16" s="290"/>
      <c r="O16" s="290"/>
      <c r="P16" s="11"/>
      <c r="S16" s="22"/>
      <c r="U16" s="22"/>
      <c r="V16" s="22"/>
      <c r="Y16" s="22"/>
    </row>
    <row r="17" spans="1:27" s="105" customFormat="1" ht="54.6" customHeight="1">
      <c r="A17" s="261" t="s">
        <v>42</v>
      </c>
      <c r="B17" s="119"/>
      <c r="C17" s="119"/>
      <c r="D17" s="119"/>
      <c r="E17" s="119"/>
      <c r="F17" s="119"/>
      <c r="G17" s="119"/>
      <c r="H17" s="620" t="s">
        <v>11</v>
      </c>
      <c r="I17" s="121"/>
      <c r="J17" s="121"/>
      <c r="K17" s="121"/>
      <c r="L17" s="121"/>
      <c r="M17" s="121"/>
      <c r="N17" s="121"/>
      <c r="P17" s="11"/>
      <c r="Q17" s="238" t="s">
        <v>147</v>
      </c>
      <c r="R17" s="243" t="s">
        <v>11</v>
      </c>
      <c r="S17" s="42" t="s">
        <v>30</v>
      </c>
      <c r="T17" s="243" t="s">
        <v>11</v>
      </c>
      <c r="U17" s="602" t="s">
        <v>44</v>
      </c>
      <c r="V17" s="108"/>
      <c r="X17" s="5"/>
      <c r="Y17" s="40" t="s">
        <v>44</v>
      </c>
      <c r="AA17"/>
    </row>
    <row r="18" spans="1:27" s="127" customFormat="1" ht="27" customHeight="1">
      <c r="A18" s="124"/>
      <c r="B18" s="124"/>
      <c r="C18" s="124"/>
      <c r="D18" s="366" t="str">
        <f t="shared" ref="D18:O18" si="2">IF((+D$7+D$8)=0," ",(+D19+D20)/(+D$7+D$8))</f>
        <v xml:space="preserve"> </v>
      </c>
      <c r="E18" s="366">
        <f t="shared" si="2"/>
        <v>4.463514318031665</v>
      </c>
      <c r="F18" s="366">
        <f t="shared" si="2"/>
        <v>0.62505764269729247</v>
      </c>
      <c r="G18" s="366">
        <f t="shared" si="2"/>
        <v>0.37767647241310259</v>
      </c>
      <c r="H18" s="574">
        <f t="shared" si="2"/>
        <v>0.57951832204524523</v>
      </c>
      <c r="I18" s="141">
        <f t="shared" si="2"/>
        <v>0.22509317007785962</v>
      </c>
      <c r="J18" s="141">
        <f t="shared" si="2"/>
        <v>0.2395470390374535</v>
      </c>
      <c r="K18" s="141">
        <f t="shared" si="2"/>
        <v>0.21559473154633446</v>
      </c>
      <c r="L18" s="141">
        <f t="shared" si="2"/>
        <v>0.1721216836697391</v>
      </c>
      <c r="M18" s="141">
        <f t="shared" si="2"/>
        <v>0.18509603912048492</v>
      </c>
      <c r="N18" s="141">
        <f t="shared" si="2"/>
        <v>0.27107282987603759</v>
      </c>
      <c r="O18" s="141" t="str">
        <f t="shared" si="2"/>
        <v xml:space="preserve"> </v>
      </c>
      <c r="P18" s="11"/>
      <c r="Q18" s="141">
        <f>IF((+Q$7+Q$8)=0," ",(+Q19+Q20)/(+Q$7+Q$8))</f>
        <v>0.32192756240842019</v>
      </c>
      <c r="R18" s="243" t="s">
        <v>11</v>
      </c>
      <c r="S18" s="134"/>
      <c r="T18" s="243" t="s">
        <v>11</v>
      </c>
      <c r="U18" s="556">
        <f>IF((+U$7+U$8)=0," ",(+U19+U20)/(+U$7+U$8))</f>
        <v>0.2602767930352905</v>
      </c>
      <c r="V18" s="124"/>
      <c r="X18" s="143"/>
      <c r="Y18" s="556">
        <f>IF((+Y$7+Y$8)=0," ",(+Y19+Y20)/(+Y$7+Y$8))</f>
        <v>0.5966283840567701</v>
      </c>
      <c r="AA18"/>
    </row>
    <row r="19" spans="1:27" s="4" customFormat="1" ht="35.1" customHeight="1">
      <c r="A19" s="453" t="s">
        <v>155</v>
      </c>
      <c r="B19" s="45"/>
      <c r="C19" s="45"/>
      <c r="D19" s="589">
        <v>8400</v>
      </c>
      <c r="E19" s="589">
        <v>8160</v>
      </c>
      <c r="F19" s="589">
        <v>8554.48</v>
      </c>
      <c r="G19" s="589">
        <v>6845</v>
      </c>
      <c r="H19" s="568">
        <f>6680+5000</f>
        <v>11680</v>
      </c>
      <c r="I19" s="568">
        <v>12345</v>
      </c>
      <c r="J19" s="568">
        <v>18385</v>
      </c>
      <c r="K19" s="568">
        <f>8447+3</f>
        <v>8450</v>
      </c>
      <c r="L19" s="568">
        <v>10630</v>
      </c>
      <c r="M19" s="568">
        <f>9512-2</f>
        <v>9510</v>
      </c>
      <c r="N19" s="568">
        <v>5100</v>
      </c>
      <c r="O19" s="568">
        <v>6720</v>
      </c>
      <c r="P19" s="11"/>
      <c r="Q19" s="139">
        <f>SUM(D19:O19)</f>
        <v>114779.48</v>
      </c>
      <c r="R19" s="243" t="s">
        <v>11</v>
      </c>
      <c r="S19" s="85">
        <f>+Q19-U19</f>
        <v>16759.479999999996</v>
      </c>
      <c r="T19" s="243" t="s">
        <v>11</v>
      </c>
      <c r="U19" s="557">
        <v>98020</v>
      </c>
      <c r="V19" s="85"/>
      <c r="X19" s="143"/>
      <c r="Y19" s="557">
        <f>'2021 TOC Monthly R&amp;E @ 12-31'!N30</f>
        <v>96580.95</v>
      </c>
      <c r="AA19"/>
    </row>
    <row r="20" spans="1:27" s="127" customFormat="1" ht="27" customHeight="1">
      <c r="A20" s="464"/>
      <c r="B20" s="124"/>
      <c r="C20" s="124"/>
      <c r="D20" s="590">
        <f t="shared" ref="D20:O20" si="3">IF(+D$19=0," ",D21/+D$19)</f>
        <v>0.19520714285714286</v>
      </c>
      <c r="E20" s="590">
        <f t="shared" si="3"/>
        <v>0.19687622549019607</v>
      </c>
      <c r="F20" s="590">
        <f t="shared" si="3"/>
        <v>0.18390948368574128</v>
      </c>
      <c r="G20" s="590">
        <f t="shared" si="3"/>
        <v>0.19722425127830534</v>
      </c>
      <c r="H20" s="574">
        <f t="shared" si="3"/>
        <v>0.19178082191780821</v>
      </c>
      <c r="I20" s="141">
        <f t="shared" si="3"/>
        <v>0.23491292021061158</v>
      </c>
      <c r="J20" s="141">
        <f t="shared" si="3"/>
        <v>0.23524612455806365</v>
      </c>
      <c r="K20" s="141">
        <f t="shared" si="3"/>
        <v>0.23550295857988165</v>
      </c>
      <c r="L20" s="141">
        <f t="shared" si="3"/>
        <v>0.23518344308560676</v>
      </c>
      <c r="M20" s="141">
        <f t="shared" si="3"/>
        <v>0.23449001051524712</v>
      </c>
      <c r="N20" s="141">
        <f t="shared" si="3"/>
        <v>0.23529411764705882</v>
      </c>
      <c r="O20" s="141">
        <f t="shared" si="3"/>
        <v>0.23511904761904762</v>
      </c>
      <c r="P20" s="11"/>
      <c r="Q20" s="141">
        <f t="shared" ref="Q20:U20" si="4">IF(+Q$19=0," ",Q21/+Q$19)</f>
        <v>0.21898077949124706</v>
      </c>
      <c r="R20" s="243" t="s">
        <v>11</v>
      </c>
      <c r="S20" s="134"/>
      <c r="T20" s="243" t="s">
        <v>11</v>
      </c>
      <c r="U20" s="556">
        <f t="shared" si="4"/>
        <v>0.24025709038971638</v>
      </c>
      <c r="V20" s="124"/>
      <c r="X20" s="143"/>
      <c r="Y20" s="556">
        <f t="shared" ref="Y20" si="5">IF(+Y$19=0," ",Y21/+Y$19)</f>
        <v>0.29223941160239159</v>
      </c>
    </row>
    <row r="21" spans="1:27" s="44" customFormat="1" ht="34.5" customHeight="1">
      <c r="A21" s="453" t="s">
        <v>167</v>
      </c>
      <c r="B21" s="45"/>
      <c r="C21" s="45"/>
      <c r="D21" s="589">
        <v>1639.74</v>
      </c>
      <c r="E21" s="589">
        <v>1606.51</v>
      </c>
      <c r="F21" s="589">
        <v>1573.25</v>
      </c>
      <c r="G21" s="589">
        <f>1350.52-0.52</f>
        <v>1350</v>
      </c>
      <c r="H21" s="568">
        <f>ROUND((H19*23.5%),-1)-500</f>
        <v>2240</v>
      </c>
      <c r="I21" s="145">
        <f t="shared" ref="I21:O21" si="6">ROUND((I19*23.5%),-1)</f>
        <v>2900</v>
      </c>
      <c r="J21" s="145">
        <f>ROUND((J19*23.5%),-1)+5</f>
        <v>4325</v>
      </c>
      <c r="K21" s="145">
        <f t="shared" si="6"/>
        <v>1990</v>
      </c>
      <c r="L21" s="145">
        <f t="shared" si="6"/>
        <v>2500</v>
      </c>
      <c r="M21" s="145">
        <f t="shared" si="6"/>
        <v>2230</v>
      </c>
      <c r="N21" s="145">
        <f t="shared" si="6"/>
        <v>1200</v>
      </c>
      <c r="O21" s="145">
        <f t="shared" si="6"/>
        <v>1580</v>
      </c>
      <c r="P21" s="11"/>
      <c r="Q21" s="139">
        <f t="shared" ref="Q21:Q52" si="7">SUM(D21:O21)</f>
        <v>25134.5</v>
      </c>
      <c r="R21" s="243" t="s">
        <v>11</v>
      </c>
      <c r="S21" s="85">
        <f>+Q21-U21</f>
        <v>1584.5</v>
      </c>
      <c r="T21" s="243" t="s">
        <v>11</v>
      </c>
      <c r="U21" s="557">
        <v>23550</v>
      </c>
      <c r="V21" s="51"/>
      <c r="X21" s="143"/>
      <c r="Y21" s="557">
        <f>'2021 TOC Monthly R&amp;E @ 12-31'!N40</f>
        <v>28224.760000000002</v>
      </c>
    </row>
    <row r="22" spans="1:27" s="127" customFormat="1" ht="27" customHeight="1">
      <c r="A22" s="464"/>
      <c r="B22" s="124"/>
      <c r="C22" s="124"/>
      <c r="D22" s="590" t="str">
        <f t="shared" ref="D22:O22" si="8">IF((+D$7+D$8)=0," ",D23/(+D$7+D$8))</f>
        <v xml:space="preserve"> </v>
      </c>
      <c r="E22" s="590">
        <f t="shared" si="8"/>
        <v>0</v>
      </c>
      <c r="F22" s="590">
        <f t="shared" si="8"/>
        <v>8.3295582411480173E-3</v>
      </c>
      <c r="G22" s="590">
        <f t="shared" si="8"/>
        <v>4.9380672570277801E-3</v>
      </c>
      <c r="H22" s="574">
        <f t="shared" si="8"/>
        <v>1.4884644008930786E-2</v>
      </c>
      <c r="I22" s="141">
        <f t="shared" si="8"/>
        <v>0</v>
      </c>
      <c r="J22" s="141">
        <f t="shared" si="8"/>
        <v>0</v>
      </c>
      <c r="K22" s="141">
        <f t="shared" si="8"/>
        <v>0</v>
      </c>
      <c r="L22" s="141">
        <f t="shared" si="8"/>
        <v>0</v>
      </c>
      <c r="M22" s="141">
        <f t="shared" si="8"/>
        <v>0</v>
      </c>
      <c r="N22" s="141">
        <f t="shared" si="8"/>
        <v>0</v>
      </c>
      <c r="O22" s="141" t="str">
        <f t="shared" si="8"/>
        <v xml:space="preserve"> </v>
      </c>
      <c r="P22" s="11"/>
      <c r="Q22" s="141">
        <f>IF((+Q$7+Q$8)=0," ",(+Q23+Q28)/(+Q$7+Q$8))</f>
        <v>2.2543244654561088E-3</v>
      </c>
      <c r="R22" s="243" t="s">
        <v>11</v>
      </c>
      <c r="S22" s="134"/>
      <c r="T22" s="243" t="s">
        <v>11</v>
      </c>
      <c r="U22" s="558">
        <v>2.9215082641863067E-3</v>
      </c>
      <c r="V22" s="124"/>
      <c r="X22" s="143"/>
      <c r="Y22" s="558">
        <v>2.9215082641863067E-3</v>
      </c>
    </row>
    <row r="23" spans="1:27" s="44" customFormat="1" ht="34.9" customHeight="1">
      <c r="A23" s="453" t="s">
        <v>168</v>
      </c>
      <c r="B23" s="45"/>
      <c r="C23" s="45"/>
      <c r="D23" s="589">
        <v>0</v>
      </c>
      <c r="E23" s="589">
        <v>0</v>
      </c>
      <c r="F23" s="589">
        <v>114</v>
      </c>
      <c r="G23" s="589">
        <v>89.5</v>
      </c>
      <c r="H23" s="568">
        <v>300</v>
      </c>
      <c r="I23" s="145">
        <v>0</v>
      </c>
      <c r="J23" s="145">
        <v>0</v>
      </c>
      <c r="K23" s="145">
        <v>0</v>
      </c>
      <c r="L23" s="145">
        <v>0</v>
      </c>
      <c r="M23" s="145">
        <v>0</v>
      </c>
      <c r="N23" s="145">
        <v>0</v>
      </c>
      <c r="O23" s="145">
        <v>300</v>
      </c>
      <c r="P23" s="11"/>
      <c r="Q23" s="139">
        <f t="shared" si="7"/>
        <v>803.5</v>
      </c>
      <c r="R23" s="243" t="s">
        <v>11</v>
      </c>
      <c r="S23" s="85">
        <f>+Q23-U23</f>
        <v>-296.5</v>
      </c>
      <c r="T23" s="243" t="s">
        <v>11</v>
      </c>
      <c r="U23" s="557">
        <v>1100</v>
      </c>
      <c r="V23" s="51"/>
      <c r="X23" s="143"/>
      <c r="Y23" s="557">
        <f>'2021 TOC Monthly R&amp;E @ 12-31'!N41+'2021 TOC Monthly R&amp;E @ 12-31'!N45+'2021 TOC Monthly R&amp;E @ 12-31'!N46</f>
        <v>15590.18</v>
      </c>
    </row>
    <row r="24" spans="1:27" s="44" customFormat="1" ht="34.9" customHeight="1">
      <c r="A24" s="453" t="s">
        <v>328</v>
      </c>
      <c r="B24" s="45"/>
      <c r="C24" s="45"/>
      <c r="D24" s="597">
        <f>D19+D21+D23</f>
        <v>10039.74</v>
      </c>
      <c r="E24" s="597">
        <f t="shared" ref="E24:U24" si="9">E19+E21+E23</f>
        <v>9766.51</v>
      </c>
      <c r="F24" s="597">
        <f t="shared" si="9"/>
        <v>10241.73</v>
      </c>
      <c r="G24" s="597">
        <f t="shared" si="9"/>
        <v>8284.5</v>
      </c>
      <c r="H24" s="601">
        <f>H19+H21+H23</f>
        <v>14220</v>
      </c>
      <c r="I24" s="601">
        <f t="shared" si="9"/>
        <v>15245</v>
      </c>
      <c r="J24" s="601">
        <f>J19+J21+J23</f>
        <v>22710</v>
      </c>
      <c r="K24" s="601">
        <f>K19+K21+K23</f>
        <v>10440</v>
      </c>
      <c r="L24" s="601">
        <f t="shared" si="9"/>
        <v>13130</v>
      </c>
      <c r="M24" s="601">
        <f>M19+M21+M23</f>
        <v>11740</v>
      </c>
      <c r="N24" s="601">
        <f t="shared" si="9"/>
        <v>6300</v>
      </c>
      <c r="O24" s="601">
        <f t="shared" si="9"/>
        <v>8600</v>
      </c>
      <c r="P24" s="11"/>
      <c r="Q24" s="601">
        <f>Q19+Q21+Q23-2</f>
        <v>140715.47999999998</v>
      </c>
      <c r="R24" s="243" t="s">
        <v>11</v>
      </c>
      <c r="S24" s="502">
        <f>+Q24-U24</f>
        <v>18045.479999999981</v>
      </c>
      <c r="T24" s="243" t="s">
        <v>11</v>
      </c>
      <c r="U24" s="603">
        <f t="shared" si="9"/>
        <v>122670</v>
      </c>
      <c r="V24" s="51"/>
      <c r="X24"/>
      <c r="Y24"/>
    </row>
    <row r="25" spans="1:27" s="44" customFormat="1" ht="34.9" customHeight="1">
      <c r="B25" s="453"/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11"/>
      <c r="Q25" s="453"/>
      <c r="R25" s="243" t="s">
        <v>11</v>
      </c>
      <c r="S25" s="85"/>
      <c r="T25" s="243" t="s">
        <v>11</v>
      </c>
      <c r="U25" s="453"/>
      <c r="V25" s="453"/>
      <c r="X25"/>
      <c r="Y25"/>
    </row>
    <row r="26" spans="1:27" s="105" customFormat="1" ht="31.5" hidden="1" customHeight="1">
      <c r="A26" s="148"/>
      <c r="B26" s="148" t="s">
        <v>11</v>
      </c>
      <c r="C26" s="148"/>
      <c r="D26" s="357" t="str">
        <f t="shared" ref="D26:O26" si="10">IF((+D$7+D$8)=0," ",D27/(+D$7+D$8))</f>
        <v xml:space="preserve"> </v>
      </c>
      <c r="E26" s="357">
        <f t="shared" si="10"/>
        <v>0.24067388688327315</v>
      </c>
      <c r="F26" s="357">
        <f t="shared" si="10"/>
        <v>0.23965746518390788</v>
      </c>
      <c r="G26" s="357">
        <f t="shared" si="10"/>
        <v>0.24000662087229993</v>
      </c>
      <c r="H26" s="129">
        <f t="shared" si="10"/>
        <v>0.24013892334408335</v>
      </c>
      <c r="I26" s="129">
        <f t="shared" si="10"/>
        <v>0.23994894703254627</v>
      </c>
      <c r="J26" s="129">
        <f t="shared" si="10"/>
        <v>0.24</v>
      </c>
      <c r="K26" s="129">
        <f t="shared" si="10"/>
        <v>0.2400816430667177</v>
      </c>
      <c r="L26" s="129">
        <f t="shared" si="10"/>
        <v>0.23996113989637305</v>
      </c>
      <c r="M26" s="262">
        <f t="shared" si="10"/>
        <v>0.2399766446087972</v>
      </c>
      <c r="N26" s="262">
        <f t="shared" si="10"/>
        <v>0.24023385596598459</v>
      </c>
      <c r="O26" s="262" t="str">
        <f t="shared" si="10"/>
        <v xml:space="preserve"> </v>
      </c>
      <c r="P26" s="11"/>
      <c r="Q26" s="263">
        <f>IF((+Q$7+Q$8)=0," ",Q27/(+Q$7+Q$8))</f>
        <v>0.24000186234938178</v>
      </c>
      <c r="R26" s="243" t="s">
        <v>11</v>
      </c>
      <c r="S26" s="134"/>
      <c r="T26" s="243" t="s">
        <v>11</v>
      </c>
      <c r="U26" s="142">
        <f>IF((+U$7+U$8)=0," ",U27/(+U$7+U$8))</f>
        <v>0.23998937865108869</v>
      </c>
      <c r="V26" s="118"/>
      <c r="X26"/>
      <c r="Y26"/>
      <c r="AA26"/>
    </row>
    <row r="27" spans="1:27" s="5" customFormat="1" ht="27" hidden="1">
      <c r="A27" s="467" t="s">
        <v>174</v>
      </c>
      <c r="B27" s="265"/>
      <c r="C27" s="265"/>
      <c r="D27" s="362" t="s">
        <v>11</v>
      </c>
      <c r="E27" s="362">
        <f t="shared" ref="E27:O27" si="11">ROUND((E7+E8)*24%,-1)</f>
        <v>440</v>
      </c>
      <c r="F27" s="362">
        <f t="shared" si="11"/>
        <v>3280</v>
      </c>
      <c r="G27" s="362">
        <f t="shared" si="11"/>
        <v>4350</v>
      </c>
      <c r="H27" s="577">
        <f t="shared" si="11"/>
        <v>4840</v>
      </c>
      <c r="I27" s="266">
        <f t="shared" si="11"/>
        <v>13160</v>
      </c>
      <c r="J27" s="266">
        <f t="shared" si="11"/>
        <v>18420</v>
      </c>
      <c r="K27" s="266">
        <f t="shared" si="11"/>
        <v>9410</v>
      </c>
      <c r="L27" s="266">
        <f t="shared" si="11"/>
        <v>14820</v>
      </c>
      <c r="M27" s="266">
        <f t="shared" si="11"/>
        <v>12330</v>
      </c>
      <c r="N27" s="266">
        <f t="shared" si="11"/>
        <v>4520</v>
      </c>
      <c r="O27" s="266">
        <f t="shared" si="11"/>
        <v>0</v>
      </c>
      <c r="P27" s="11"/>
      <c r="Q27" s="266">
        <f>SUM(D27:O27)</f>
        <v>85570</v>
      </c>
      <c r="R27" s="243" t="s">
        <v>11</v>
      </c>
      <c r="S27" s="85">
        <f>+Q27-U27</f>
        <v>-4810</v>
      </c>
      <c r="T27" s="243" t="s">
        <v>11</v>
      </c>
      <c r="U27" s="425">
        <v>90380</v>
      </c>
      <c r="V27" s="125"/>
      <c r="X27"/>
      <c r="Y27"/>
      <c r="AA27"/>
    </row>
    <row r="28" spans="1:27" s="127" customFormat="1" ht="27" hidden="1" customHeight="1">
      <c r="A28" s="124"/>
      <c r="B28" s="124"/>
      <c r="C28" s="124"/>
      <c r="D28" s="590" t="str">
        <f t="shared" ref="D28:O28" si="12">IF(+D$7=0," ",D29/+D$7)</f>
        <v xml:space="preserve"> </v>
      </c>
      <c r="E28" s="590">
        <f t="shared" si="12"/>
        <v>0.92369606003752347</v>
      </c>
      <c r="F28" s="590">
        <f t="shared" si="12"/>
        <v>0.63590774689532825</v>
      </c>
      <c r="G28" s="590">
        <f t="shared" si="12"/>
        <v>0.17516417438088458</v>
      </c>
      <c r="H28" s="574">
        <f t="shared" si="12"/>
        <v>0.24</v>
      </c>
      <c r="I28" s="141">
        <f t="shared" si="12"/>
        <v>0.24011242722344911</v>
      </c>
      <c r="J28" s="141">
        <f t="shared" si="12"/>
        <v>0.24010840108401085</v>
      </c>
      <c r="K28" s="141">
        <f t="shared" si="12"/>
        <v>0.23975720789074356</v>
      </c>
      <c r="L28" s="141">
        <f t="shared" si="12"/>
        <v>0.24038461538461539</v>
      </c>
      <c r="M28" s="141">
        <f t="shared" si="12"/>
        <v>0.24017708909795241</v>
      </c>
      <c r="N28" s="141">
        <f t="shared" si="12"/>
        <v>0.23962411902897415</v>
      </c>
      <c r="O28" s="141" t="str">
        <f t="shared" si="12"/>
        <v xml:space="preserve"> </v>
      </c>
      <c r="P28" s="11"/>
      <c r="Q28" s="438">
        <f>IF(+Q$7=0," ",Q29/+Q$7)</f>
        <v>0.25436515680904864</v>
      </c>
      <c r="R28" s="243" t="s">
        <v>11</v>
      </c>
      <c r="S28" s="134"/>
      <c r="T28" s="243" t="s">
        <v>11</v>
      </c>
      <c r="U28" s="559">
        <f>IF(+U$7=0," ",U29/+U$7)</f>
        <v>0.24001229256299939</v>
      </c>
      <c r="V28" s="124"/>
      <c r="X28"/>
      <c r="Y28"/>
    </row>
    <row r="29" spans="1:27" s="44" customFormat="1" ht="35.1" hidden="1" customHeight="1">
      <c r="A29" s="453" t="s">
        <v>156</v>
      </c>
      <c r="B29" s="45"/>
      <c r="C29" s="45"/>
      <c r="D29" s="589">
        <v>76.930000000000007</v>
      </c>
      <c r="E29" s="589">
        <v>492.33</v>
      </c>
      <c r="F29" s="589">
        <v>3225.96</v>
      </c>
      <c r="G29" s="589">
        <v>1106.95</v>
      </c>
      <c r="H29" s="568">
        <f>ROUND((H7*24%),-1)</f>
        <v>1800</v>
      </c>
      <c r="I29" s="145">
        <f>ROUND((I7*24%),-1)</f>
        <v>5980</v>
      </c>
      <c r="J29" s="145">
        <f>ROUND((J7*24%),-1)</f>
        <v>8860</v>
      </c>
      <c r="K29" s="145">
        <f>ROUND((K7*24%),-1)</f>
        <v>3950</v>
      </c>
      <c r="L29" s="145">
        <f>ROUND((L7*24%),-1)+10</f>
        <v>5000</v>
      </c>
      <c r="M29" s="145">
        <f>ROUND((M7*24%),-1)</f>
        <v>4340</v>
      </c>
      <c r="N29" s="145">
        <f>ROUND((N7*24%),-1)</f>
        <v>1530</v>
      </c>
      <c r="O29" s="145">
        <f>ROUND((O7*24%),-1)</f>
        <v>0</v>
      </c>
      <c r="P29" s="11"/>
      <c r="Q29" s="139">
        <f>SUM(D29:O29)+2</f>
        <v>36364.17</v>
      </c>
      <c r="R29" s="243" t="s">
        <v>11</v>
      </c>
      <c r="S29" s="85">
        <f>+Q29-U29</f>
        <v>-2685.8300000000017</v>
      </c>
      <c r="T29" s="243" t="s">
        <v>11</v>
      </c>
      <c r="U29" s="557">
        <v>39050</v>
      </c>
      <c r="V29" s="51"/>
      <c r="X29"/>
      <c r="Y29"/>
      <c r="Z29" s="127"/>
    </row>
    <row r="30" spans="1:27" s="127" customFormat="1" ht="27" hidden="1" customHeight="1">
      <c r="A30" s="464"/>
      <c r="B30" s="124"/>
      <c r="C30" s="124"/>
      <c r="D30" s="590" t="str">
        <f t="shared" ref="D30:O30" si="13">IF((+D$7+D$8)=0," ",D31/(+D$7+D$8))</f>
        <v xml:space="preserve"> </v>
      </c>
      <c r="E30" s="590">
        <f t="shared" si="13"/>
        <v>0</v>
      </c>
      <c r="F30" s="590">
        <f t="shared" si="13"/>
        <v>3.2419517470152412E-3</v>
      </c>
      <c r="G30" s="590">
        <f t="shared" si="13"/>
        <v>0</v>
      </c>
      <c r="H30" s="574">
        <f t="shared" si="13"/>
        <v>4.9615480029769291E-3</v>
      </c>
      <c r="I30" s="141">
        <f t="shared" si="13"/>
        <v>2.2791503327559484E-3</v>
      </c>
      <c r="J30" s="141">
        <f t="shared" si="13"/>
        <v>1.6286644951140066E-3</v>
      </c>
      <c r="K30" s="141">
        <f t="shared" si="13"/>
        <v>3.1891822936599055E-3</v>
      </c>
      <c r="L30" s="141">
        <f t="shared" si="13"/>
        <v>2.023963730569948E-3</v>
      </c>
      <c r="M30" s="141">
        <f t="shared" si="13"/>
        <v>9.7314130011677698E-4</v>
      </c>
      <c r="N30" s="141">
        <f t="shared" si="13"/>
        <v>0</v>
      </c>
      <c r="O30" s="141" t="str">
        <f t="shared" si="13"/>
        <v xml:space="preserve"> </v>
      </c>
      <c r="P30" s="11"/>
      <c r="Q30" s="141">
        <f t="shared" ref="Q30" si="14">IF(+Q$19=0," ",Q31/+Q$19)</f>
        <v>4.644645541171645E-3</v>
      </c>
      <c r="R30" s="243" t="s">
        <v>11</v>
      </c>
      <c r="S30" s="134"/>
      <c r="T30" s="243" t="s">
        <v>11</v>
      </c>
      <c r="U30" s="558">
        <v>2.2444399102224035E-2</v>
      </c>
      <c r="V30" s="124"/>
      <c r="X30"/>
      <c r="Y30"/>
    </row>
    <row r="31" spans="1:27" s="44" customFormat="1" ht="35.1" hidden="1" customHeight="1">
      <c r="A31" s="453" t="s">
        <v>157</v>
      </c>
      <c r="B31" s="45"/>
      <c r="C31" s="45"/>
      <c r="D31" s="589">
        <v>-161.26</v>
      </c>
      <c r="E31" s="589">
        <v>0</v>
      </c>
      <c r="F31" s="589">
        <v>44.37</v>
      </c>
      <c r="G31" s="589">
        <v>0</v>
      </c>
      <c r="H31" s="568">
        <v>100</v>
      </c>
      <c r="I31" s="145">
        <v>125</v>
      </c>
      <c r="J31" s="145">
        <v>125</v>
      </c>
      <c r="K31" s="145">
        <v>125</v>
      </c>
      <c r="L31" s="145">
        <f>K31</f>
        <v>125</v>
      </c>
      <c r="M31" s="145">
        <v>50</v>
      </c>
      <c r="N31" s="145">
        <v>0</v>
      </c>
      <c r="O31" s="145">
        <v>0</v>
      </c>
      <c r="P31" s="11"/>
      <c r="Q31" s="139">
        <f t="shared" si="7"/>
        <v>533.11</v>
      </c>
      <c r="R31" s="243" t="s">
        <v>11</v>
      </c>
      <c r="S31" s="85">
        <f>+Q31-U31</f>
        <v>-1666.8899999999999</v>
      </c>
      <c r="T31" s="243" t="s">
        <v>11</v>
      </c>
      <c r="U31" s="557">
        <v>2200</v>
      </c>
      <c r="V31" s="51"/>
      <c r="X31"/>
      <c r="Y31"/>
    </row>
    <row r="32" spans="1:27" s="127" customFormat="1" ht="27" hidden="1" customHeight="1">
      <c r="A32" s="464"/>
      <c r="B32" s="148"/>
      <c r="C32" s="148"/>
      <c r="D32" s="590" t="str">
        <f>IF((+D$7+D$8)=0," ",D33/(+D$7+D$8))</f>
        <v xml:space="preserve"> </v>
      </c>
      <c r="E32" s="590">
        <f>IF((+E$7+E$8)=0," ",E33/(+E$7+E$8))</f>
        <v>2.9305327644677828</v>
      </c>
      <c r="F32" s="590">
        <f>IF((+F$7+F$8)=0," ",F33/(+F$7+F$8))</f>
        <v>0.42701334190644585</v>
      </c>
      <c r="G32" s="590">
        <f>IF((+G$7+G$8)=0," ",G33/(+G$7+G$8))</f>
        <v>0.20342078402162819</v>
      </c>
      <c r="H32" s="574">
        <f>IF((+H$7+H$8)=0," ",H33/(+H$7+H$8))</f>
        <v>0.20422128504093276</v>
      </c>
      <c r="I32" s="141">
        <f>IF((O35+I$7+I$8)=0," ",I33/(+I$7+I$8))</f>
        <v>7.8949767526666062E-2</v>
      </c>
      <c r="J32" s="141">
        <f>IF((P35+J$7+J$8)=0," ",J33/(+J$7+J$8))</f>
        <v>6.3791530944625405E-2</v>
      </c>
      <c r="K32" s="141">
        <f t="shared" ref="K32:O32" si="15">IF((+K$7+K$8)=0," ",K33/(+K$7+K$8))</f>
        <v>0.11851001403240209</v>
      </c>
      <c r="L32" s="141">
        <f t="shared" si="15"/>
        <v>8.022992227979274E-2</v>
      </c>
      <c r="M32" s="141">
        <f t="shared" si="15"/>
        <v>8.7096146360451543E-2</v>
      </c>
      <c r="N32" s="141">
        <f t="shared" si="15"/>
        <v>0.18602179112410311</v>
      </c>
      <c r="O32" s="141" t="str">
        <f t="shared" si="15"/>
        <v xml:space="preserve"> </v>
      </c>
      <c r="P32" s="11"/>
      <c r="Q32" s="141">
        <f>IF((+Q$7+Q$8)=0," ",(+Q33+Q34)/(+Q$7+Q$8))</f>
        <v>0.15326097074442138</v>
      </c>
      <c r="R32" s="243" t="s">
        <v>11</v>
      </c>
      <c r="S32" s="134"/>
      <c r="T32" s="243" t="s">
        <v>11</v>
      </c>
      <c r="U32" s="556">
        <f>IF((+U$7+U$8)=0," ",(+U33+U34)/(+U$7+U$8))</f>
        <v>0.14498170877366853</v>
      </c>
      <c r="V32" s="124"/>
      <c r="X32"/>
      <c r="Y32"/>
    </row>
    <row r="33" spans="1:27" s="44" customFormat="1" ht="35.1" hidden="1" customHeight="1">
      <c r="A33" s="453" t="s">
        <v>158</v>
      </c>
      <c r="B33" s="149"/>
      <c r="C33" s="149"/>
      <c r="D33" s="589">
        <v>5212.58</v>
      </c>
      <c r="E33" s="589">
        <v>5357.6</v>
      </c>
      <c r="F33" s="589">
        <v>5844.19</v>
      </c>
      <c r="G33" s="589">
        <v>3686.9</v>
      </c>
      <c r="H33" s="568">
        <v>4116.08</v>
      </c>
      <c r="I33" s="145">
        <f>4327+3</f>
        <v>4330</v>
      </c>
      <c r="J33" s="145">
        <v>4896</v>
      </c>
      <c r="K33" s="145">
        <v>4645</v>
      </c>
      <c r="L33" s="145">
        <f>4952+3</f>
        <v>4955</v>
      </c>
      <c r="M33" s="145">
        <v>4475</v>
      </c>
      <c r="N33" s="145">
        <v>3500</v>
      </c>
      <c r="O33" s="145">
        <v>3625</v>
      </c>
      <c r="P33" s="11"/>
      <c r="Q33" s="139">
        <f>SUM(D33:O33)</f>
        <v>54643.35</v>
      </c>
      <c r="R33" s="243" t="s">
        <v>11</v>
      </c>
      <c r="S33" s="85">
        <f>+Q33-U33</f>
        <v>43.349999999998545</v>
      </c>
      <c r="T33" s="243" t="s">
        <v>11</v>
      </c>
      <c r="U33" s="557">
        <v>54600</v>
      </c>
      <c r="V33" s="51"/>
      <c r="X33"/>
      <c r="Y33"/>
    </row>
    <row r="34" spans="1:27" s="127" customFormat="1" ht="27" hidden="1" customHeight="1">
      <c r="A34" s="464"/>
      <c r="B34" s="124"/>
      <c r="C34" s="124"/>
      <c r="D34" s="590" t="str">
        <f t="shared" ref="D34:O34" si="16">IF((+D$7+D$8)=0," ",D35/(+D$7+D$8))</f>
        <v xml:space="preserve"> </v>
      </c>
      <c r="E34" s="590">
        <f t="shared" si="16"/>
        <v>2.4040039382999669</v>
      </c>
      <c r="F34" s="590">
        <f t="shared" si="16"/>
        <v>0.32112639008636434</v>
      </c>
      <c r="G34" s="590">
        <f t="shared" si="16"/>
        <v>0.24248944798477198</v>
      </c>
      <c r="H34" s="574">
        <f t="shared" si="16"/>
        <v>0.21806003473083602</v>
      </c>
      <c r="I34" s="141">
        <f t="shared" si="16"/>
        <v>8.0134925699699155E-2</v>
      </c>
      <c r="J34" s="141">
        <f t="shared" si="16"/>
        <v>5.7263843648208468E-2</v>
      </c>
      <c r="K34" s="141">
        <f t="shared" si="16"/>
        <v>0.11213164944508228</v>
      </c>
      <c r="L34" s="141">
        <f t="shared" si="16"/>
        <v>7.1162564766839381E-2</v>
      </c>
      <c r="M34" s="141">
        <f t="shared" si="16"/>
        <v>8.5539120280264697E-2</v>
      </c>
      <c r="N34" s="141">
        <f t="shared" si="16"/>
        <v>0.23359022056869519</v>
      </c>
      <c r="O34" s="141" t="str">
        <f t="shared" si="16"/>
        <v xml:space="preserve"> </v>
      </c>
      <c r="P34" s="11"/>
      <c r="Q34" s="141">
        <f>IF((+Q$7+Q$8)=0," ",Q35/(+Q$7+Q$8))</f>
        <v>0.14792214818635496</v>
      </c>
      <c r="R34" s="243" t="s">
        <v>11</v>
      </c>
      <c r="S34" s="134"/>
      <c r="T34" s="243" t="s">
        <v>11</v>
      </c>
      <c r="U34" s="556">
        <f>IF((+U$7+U$8)=0," ",U35/(+U$7+U$8))</f>
        <v>0.11152416356877323</v>
      </c>
      <c r="V34" s="124"/>
      <c r="X34"/>
      <c r="Y34"/>
    </row>
    <row r="35" spans="1:27" s="44" customFormat="1" ht="35.1" hidden="1" customHeight="1">
      <c r="A35" s="453" t="s">
        <v>159</v>
      </c>
      <c r="B35" s="268"/>
      <c r="C35" s="268"/>
      <c r="D35" s="368">
        <v>4395</v>
      </c>
      <c r="E35" s="368">
        <v>4395</v>
      </c>
      <c r="F35" s="368">
        <f t="shared" ref="F35:O35" si="17">E35</f>
        <v>4395</v>
      </c>
      <c r="G35" s="368">
        <f t="shared" si="17"/>
        <v>4395</v>
      </c>
      <c r="H35" s="575">
        <f t="shared" si="17"/>
        <v>4395</v>
      </c>
      <c r="I35" s="292">
        <f t="shared" si="17"/>
        <v>4395</v>
      </c>
      <c r="J35" s="292">
        <f t="shared" si="17"/>
        <v>4395</v>
      </c>
      <c r="K35" s="292">
        <f t="shared" si="17"/>
        <v>4395</v>
      </c>
      <c r="L35" s="292">
        <f t="shared" si="17"/>
        <v>4395</v>
      </c>
      <c r="M35" s="292">
        <f t="shared" si="17"/>
        <v>4395</v>
      </c>
      <c r="N35" s="292">
        <f>M35</f>
        <v>4395</v>
      </c>
      <c r="O35" s="292">
        <f t="shared" si="17"/>
        <v>4395</v>
      </c>
      <c r="P35" s="11"/>
      <c r="Q35" s="269">
        <f>SUM(D35:O35)</f>
        <v>52740</v>
      </c>
      <c r="R35" s="243" t="s">
        <v>11</v>
      </c>
      <c r="S35" s="85">
        <f>+Q35-U35</f>
        <v>10740</v>
      </c>
      <c r="T35" s="243" t="s">
        <v>11</v>
      </c>
      <c r="U35" s="560">
        <v>42000</v>
      </c>
      <c r="V35" s="51"/>
      <c r="X35"/>
      <c r="Y35"/>
      <c r="AA35" s="440">
        <f>SUM(D35:O35)</f>
        <v>52740</v>
      </c>
    </row>
    <row r="36" spans="1:27" s="127" customFormat="1" ht="27" hidden="1" customHeight="1">
      <c r="A36" s="464"/>
      <c r="B36" s="124"/>
      <c r="C36" s="124"/>
      <c r="D36" s="366" t="str">
        <f t="shared" ref="D36:O36" si="18">IF((+D$7+D$8)=0," ",D37/(+D$7+D$8))</f>
        <v xml:space="preserve"> </v>
      </c>
      <c r="E36" s="366">
        <f t="shared" si="18"/>
        <v>0.35154250082047916</v>
      </c>
      <c r="F36" s="366">
        <f t="shared" si="18"/>
        <v>3.1753152810860573E-2</v>
      </c>
      <c r="G36" s="366">
        <f t="shared" si="18"/>
        <v>0.10449281359485779</v>
      </c>
      <c r="H36" s="574">
        <f t="shared" si="18"/>
        <v>2.64946663358968E-2</v>
      </c>
      <c r="I36" s="141">
        <f t="shared" si="18"/>
        <v>9.1166013310237937E-3</v>
      </c>
      <c r="J36" s="141">
        <f t="shared" si="18"/>
        <v>6.5146579804560263E-3</v>
      </c>
      <c r="K36" s="141">
        <f t="shared" si="18"/>
        <v>1.2756729174639622E-2</v>
      </c>
      <c r="L36" s="141">
        <f t="shared" si="18"/>
        <v>8.095854922279792E-3</v>
      </c>
      <c r="M36" s="141">
        <f t="shared" si="18"/>
        <v>9.7314130011677703E-3</v>
      </c>
      <c r="N36" s="141">
        <f t="shared" si="18"/>
        <v>2.6574541589157587E-2</v>
      </c>
      <c r="O36" s="141" t="str">
        <f t="shared" si="18"/>
        <v xml:space="preserve"> </v>
      </c>
      <c r="P36" s="11"/>
      <c r="Q36" s="141">
        <f>IF((+Q$7+Q$8)=0," ",Q37/(+Q$7+Q$8))</f>
        <v>2.0261884467585443E-2</v>
      </c>
      <c r="R36" s="243" t="s">
        <v>11</v>
      </c>
      <c r="S36" s="134"/>
      <c r="T36" s="243" t="s">
        <v>11</v>
      </c>
      <c r="U36" s="556">
        <f>IF((+U$7+U$8)=0," ",U37/(+U$7+U$8))</f>
        <v>2.3898035050451408E-2</v>
      </c>
      <c r="V36" s="124"/>
      <c r="X36"/>
      <c r="Y36"/>
    </row>
    <row r="37" spans="1:27" s="44" customFormat="1" ht="35.1" hidden="1" customHeight="1">
      <c r="A37" s="453" t="s">
        <v>160</v>
      </c>
      <c r="B37" s="45"/>
      <c r="C37" s="45"/>
      <c r="D37" s="589">
        <v>219</v>
      </c>
      <c r="E37" s="589">
        <v>642.69000000000005</v>
      </c>
      <c r="F37" s="589">
        <v>434.58</v>
      </c>
      <c r="G37" s="589">
        <v>1893.88</v>
      </c>
      <c r="H37" s="568">
        <f>532+2</f>
        <v>534</v>
      </c>
      <c r="I37" s="145">
        <v>500</v>
      </c>
      <c r="J37" s="145">
        <v>500</v>
      </c>
      <c r="K37" s="145">
        <v>500</v>
      </c>
      <c r="L37" s="145">
        <v>500</v>
      </c>
      <c r="M37" s="145">
        <v>500</v>
      </c>
      <c r="N37" s="145">
        <v>500</v>
      </c>
      <c r="O37" s="145">
        <v>500</v>
      </c>
      <c r="P37" s="11"/>
      <c r="Q37" s="139">
        <f t="shared" si="7"/>
        <v>7224.15</v>
      </c>
      <c r="R37" s="243" t="s">
        <v>11</v>
      </c>
      <c r="S37" s="85">
        <f>+Q37-U37</f>
        <v>-1775.8500000000004</v>
      </c>
      <c r="T37" s="243" t="s">
        <v>11</v>
      </c>
      <c r="U37" s="557">
        <v>9000</v>
      </c>
      <c r="V37" s="51"/>
      <c r="X37"/>
      <c r="Y37"/>
    </row>
    <row r="38" spans="1:27" s="127" customFormat="1" ht="27" hidden="1" customHeight="1">
      <c r="A38" s="464"/>
      <c r="B38" s="124"/>
      <c r="C38" s="124"/>
      <c r="D38" s="590" t="str">
        <f t="shared" ref="D38:J38" si="19">IF((+D$7+D$8)=0," ",D39/(+D$7+D$8))</f>
        <v xml:space="preserve"> </v>
      </c>
      <c r="E38" s="590">
        <f t="shared" si="19"/>
        <v>4.7647959741822558E-2</v>
      </c>
      <c r="F38" s="590">
        <f t="shared" si="19"/>
        <v>1.0419254431471115E-2</v>
      </c>
      <c r="G38" s="590">
        <f t="shared" si="19"/>
        <v>5.8545063312091361E-2</v>
      </c>
      <c r="H38" s="574">
        <f t="shared" si="19"/>
        <v>7.9384768047630866E-2</v>
      </c>
      <c r="I38" s="141">
        <f t="shared" si="19"/>
        <v>2.2700337314249249E-2</v>
      </c>
      <c r="J38" s="141">
        <f t="shared" si="19"/>
        <v>1.6729641693811075E-2</v>
      </c>
      <c r="K38" s="141">
        <f>IF((+K$7+K$8)=0," ",K39/(+K$7+K$8))</f>
        <v>3.8270187523918864E-2</v>
      </c>
      <c r="L38" s="141">
        <f>IF((+L$7+L$8)=0," ",L39/(+L$7+L$8))</f>
        <v>2.3073186528497408E-2</v>
      </c>
      <c r="M38" s="141">
        <f>IF((+M$7+M$8)=0," ",M39/(+M$7+M$8))</f>
        <v>1.6446087971973531E-2</v>
      </c>
      <c r="N38" s="141">
        <f>IF((+N$7+N$8)=0," ",N39/(+N$7+N$8))</f>
        <v>2.6574541589157587E-2</v>
      </c>
      <c r="O38" s="141" t="str">
        <f>IF((+O$7+O$8)=0," ",O39/(+O$7+O$8))</f>
        <v xml:space="preserve"> </v>
      </c>
      <c r="P38" s="11"/>
      <c r="Q38" s="141">
        <f>IF((+Q$7+Q$8)=0," ",Q39/(+Q$7+Q$8))</f>
        <v>2.9253526052837431E-2</v>
      </c>
      <c r="R38" s="243" t="s">
        <v>11</v>
      </c>
      <c r="S38" s="134"/>
      <c r="T38" s="243" t="s">
        <v>11</v>
      </c>
      <c r="U38" s="556">
        <f>IF((+U$7+U$8)=0," ",U39/(+U$7+U$8))</f>
        <v>4.1423260754115773E-2</v>
      </c>
      <c r="V38" s="124"/>
      <c r="X38"/>
      <c r="Y38"/>
    </row>
    <row r="39" spans="1:27" s="44" customFormat="1" ht="34.5" hidden="1" customHeight="1">
      <c r="A39" s="453" t="s">
        <v>161</v>
      </c>
      <c r="B39" s="45"/>
      <c r="C39" s="45"/>
      <c r="D39" s="589">
        <v>440.21</v>
      </c>
      <c r="E39" s="589">
        <v>87.11</v>
      </c>
      <c r="F39" s="589">
        <v>142.6</v>
      </c>
      <c r="G39" s="589">
        <v>1061.0999999999999</v>
      </c>
      <c r="H39" s="568">
        <v>1600</v>
      </c>
      <c r="I39" s="145">
        <v>1245</v>
      </c>
      <c r="J39" s="145">
        <v>1284</v>
      </c>
      <c r="K39" s="145">
        <v>1500</v>
      </c>
      <c r="L39" s="145">
        <v>1425</v>
      </c>
      <c r="M39" s="145">
        <v>845</v>
      </c>
      <c r="N39" s="145">
        <v>500</v>
      </c>
      <c r="O39" s="145">
        <v>300</v>
      </c>
      <c r="P39" s="11"/>
      <c r="Q39" s="139">
        <f t="shared" si="7"/>
        <v>10430.02</v>
      </c>
      <c r="R39" s="243" t="s">
        <v>11</v>
      </c>
      <c r="S39" s="85">
        <f>+Q39-U39</f>
        <v>-5169.9799999999996</v>
      </c>
      <c r="T39" s="243" t="s">
        <v>11</v>
      </c>
      <c r="U39" s="557">
        <v>15600</v>
      </c>
      <c r="V39" s="51"/>
      <c r="X39"/>
      <c r="Y39"/>
    </row>
    <row r="40" spans="1:27" s="127" customFormat="1" ht="27" hidden="1" customHeight="1">
      <c r="A40" s="124"/>
      <c r="B40" s="124"/>
      <c r="C40" s="124"/>
      <c r="D40" s="590" t="str">
        <f t="shared" ref="D40:O40" si="20">IF((+D$7+D$8)=0," ",D41/(+D$7+D$8))</f>
        <v xml:space="preserve"> </v>
      </c>
      <c r="E40" s="590">
        <f t="shared" si="20"/>
        <v>0</v>
      </c>
      <c r="F40" s="590">
        <f t="shared" si="20"/>
        <v>0</v>
      </c>
      <c r="G40" s="590">
        <f t="shared" si="20"/>
        <v>0</v>
      </c>
      <c r="H40" s="141">
        <f t="shared" si="20"/>
        <v>0</v>
      </c>
      <c r="I40" s="141">
        <f t="shared" si="20"/>
        <v>0</v>
      </c>
      <c r="J40" s="141">
        <f t="shared" si="20"/>
        <v>0</v>
      </c>
      <c r="K40" s="141">
        <f t="shared" si="20"/>
        <v>0</v>
      </c>
      <c r="L40" s="141">
        <f t="shared" si="20"/>
        <v>0</v>
      </c>
      <c r="M40" s="141">
        <f t="shared" si="20"/>
        <v>0</v>
      </c>
      <c r="N40" s="141">
        <f t="shared" si="20"/>
        <v>0</v>
      </c>
      <c r="O40" s="141" t="str">
        <f t="shared" si="20"/>
        <v xml:space="preserve"> </v>
      </c>
      <c r="P40" s="11"/>
      <c r="Q40" s="141">
        <f>IF((+Q$7+Q$8)=0," ",Q41/(+Q$7+Q$8))</f>
        <v>0</v>
      </c>
      <c r="R40" s="243" t="s">
        <v>11</v>
      </c>
      <c r="S40" s="134"/>
      <c r="T40" s="243" t="s">
        <v>11</v>
      </c>
      <c r="U40" s="558">
        <v>0</v>
      </c>
      <c r="V40" s="124"/>
      <c r="X40"/>
      <c r="Y40"/>
    </row>
    <row r="41" spans="1:27" s="153" customFormat="1" ht="33.75" hidden="1" customHeight="1">
      <c r="A41" s="268" t="s">
        <v>329</v>
      </c>
      <c r="B41" s="268"/>
      <c r="C41" s="268"/>
      <c r="D41" s="368">
        <v>0</v>
      </c>
      <c r="E41" s="368">
        <v>0</v>
      </c>
      <c r="F41" s="368">
        <v>0</v>
      </c>
      <c r="G41" s="368">
        <v>0</v>
      </c>
      <c r="H41" s="292">
        <v>0</v>
      </c>
      <c r="I41" s="292">
        <v>0</v>
      </c>
      <c r="J41" s="292">
        <v>0</v>
      </c>
      <c r="K41" s="292">
        <v>0</v>
      </c>
      <c r="L41" s="292">
        <v>0</v>
      </c>
      <c r="M41" s="292">
        <v>0</v>
      </c>
      <c r="N41" s="292">
        <v>0</v>
      </c>
      <c r="O41" s="292">
        <v>0</v>
      </c>
      <c r="P41" s="11"/>
      <c r="Q41" s="269">
        <f t="shared" si="7"/>
        <v>0</v>
      </c>
      <c r="R41" s="243" t="s">
        <v>11</v>
      </c>
      <c r="S41" s="85">
        <f>+Q41-U41</f>
        <v>0</v>
      </c>
      <c r="T41" s="243" t="s">
        <v>11</v>
      </c>
      <c r="U41" s="560">
        <v>0</v>
      </c>
      <c r="V41" s="138"/>
      <c r="X41"/>
      <c r="Y41"/>
    </row>
    <row r="42" spans="1:27" s="44" customFormat="1" ht="34.9" customHeight="1">
      <c r="A42" s="453" t="s">
        <v>330</v>
      </c>
      <c r="B42" s="453"/>
      <c r="C42" s="453"/>
      <c r="D42" s="597">
        <f t="shared" ref="D42:O42" si="21">SUM(D27,D29,D31,D33,D35,D37,D39)</f>
        <v>10182.459999999999</v>
      </c>
      <c r="E42" s="597">
        <f t="shared" si="21"/>
        <v>11414.730000000001</v>
      </c>
      <c r="F42" s="597">
        <f t="shared" si="21"/>
        <v>17366.7</v>
      </c>
      <c r="G42" s="597">
        <f t="shared" si="21"/>
        <v>16493.829999999998</v>
      </c>
      <c r="H42" s="601">
        <f t="shared" si="21"/>
        <v>17385.080000000002</v>
      </c>
      <c r="I42" s="601">
        <f t="shared" si="21"/>
        <v>29735</v>
      </c>
      <c r="J42" s="601">
        <f t="shared" si="21"/>
        <v>38480</v>
      </c>
      <c r="K42" s="601">
        <f t="shared" si="21"/>
        <v>24525</v>
      </c>
      <c r="L42" s="601">
        <f t="shared" si="21"/>
        <v>31220</v>
      </c>
      <c r="M42" s="601">
        <f t="shared" si="21"/>
        <v>26935</v>
      </c>
      <c r="N42" s="601">
        <f t="shared" si="21"/>
        <v>14945</v>
      </c>
      <c r="O42" s="601">
        <f t="shared" si="21"/>
        <v>8820</v>
      </c>
      <c r="P42" s="11"/>
      <c r="Q42" s="601">
        <f>SUM(Q27,Q29,Q31,Q33,Q35,Q37,Q39)</f>
        <v>247504.8</v>
      </c>
      <c r="R42" s="243" t="s">
        <v>11</v>
      </c>
      <c r="S42" s="502">
        <f>+Q42-U42</f>
        <v>-5325.2000000000116</v>
      </c>
      <c r="T42" s="243" t="s">
        <v>11</v>
      </c>
      <c r="U42" s="603">
        <f>SUM(U27,U29,U31,U33,U35,U37,U39)</f>
        <v>252830</v>
      </c>
      <c r="V42" s="51"/>
      <c r="X42"/>
      <c r="Y42"/>
    </row>
    <row r="43" spans="1:27" s="127" customFormat="1" ht="27" hidden="1" customHeight="1">
      <c r="A43" s="464"/>
      <c r="B43" s="124"/>
      <c r="C43" s="124"/>
      <c r="D43" s="366" t="str">
        <f t="shared" ref="D43:O43" si="22">IF((+D$7+D$8)=0," ",D44/(+D$7+D$8))</f>
        <v xml:space="preserve"> </v>
      </c>
      <c r="E43" s="366">
        <f t="shared" si="22"/>
        <v>3.386390985668964E-2</v>
      </c>
      <c r="F43" s="366">
        <f t="shared" si="22"/>
        <v>0</v>
      </c>
      <c r="G43" s="366">
        <f t="shared" si="22"/>
        <v>0</v>
      </c>
      <c r="H43" s="141">
        <f t="shared" si="22"/>
        <v>9.9230960059538582E-3</v>
      </c>
      <c r="I43" s="141">
        <f t="shared" si="22"/>
        <v>3.6466405324095176E-3</v>
      </c>
      <c r="J43" s="141">
        <f t="shared" si="22"/>
        <v>2.6058631921824105E-3</v>
      </c>
      <c r="K43" s="141">
        <f t="shared" si="22"/>
        <v>5.1026916698558491E-3</v>
      </c>
      <c r="L43" s="141">
        <f t="shared" si="22"/>
        <v>3.2383419689119169E-3</v>
      </c>
      <c r="M43" s="141">
        <f t="shared" si="22"/>
        <v>3.8925652004671079E-3</v>
      </c>
      <c r="N43" s="141">
        <f t="shared" si="22"/>
        <v>1.0629816635663035E-2</v>
      </c>
      <c r="O43" s="141" t="str">
        <f t="shared" si="22"/>
        <v xml:space="preserve"> </v>
      </c>
      <c r="P43" s="11"/>
      <c r="Q43" s="141">
        <f>IF((+Q$7+Q$8)=0," ",Q44/(+Q$7+Q$8))</f>
        <v>4.697579983558596E-3</v>
      </c>
      <c r="R43" s="243" t="s">
        <v>11</v>
      </c>
      <c r="S43" s="134"/>
      <c r="T43" s="243" t="s">
        <v>11</v>
      </c>
      <c r="U43" s="558">
        <v>5.5762081784386614E-3</v>
      </c>
      <c r="V43" s="124"/>
      <c r="X43"/>
      <c r="Y43"/>
    </row>
    <row r="44" spans="1:27" s="44" customFormat="1" ht="35.1" hidden="1" customHeight="1">
      <c r="A44" s="453" t="s">
        <v>163</v>
      </c>
      <c r="B44" s="45"/>
      <c r="C44" s="45"/>
      <c r="D44" s="589">
        <v>12.96</v>
      </c>
      <c r="E44" s="589">
        <v>61.91</v>
      </c>
      <c r="F44" s="589">
        <v>0</v>
      </c>
      <c r="G44" s="589">
        <v>0</v>
      </c>
      <c r="H44" s="145">
        <v>200</v>
      </c>
      <c r="I44" s="145">
        <v>200</v>
      </c>
      <c r="J44" s="145">
        <v>200</v>
      </c>
      <c r="K44" s="145">
        <v>200</v>
      </c>
      <c r="L44" s="145">
        <v>200</v>
      </c>
      <c r="M44" s="145">
        <v>200</v>
      </c>
      <c r="N44" s="145">
        <v>200</v>
      </c>
      <c r="O44" s="145">
        <v>200</v>
      </c>
      <c r="P44" s="11"/>
      <c r="Q44" s="139">
        <f>SUM(D44:O44)</f>
        <v>1674.87</v>
      </c>
      <c r="R44" s="243" t="s">
        <v>11</v>
      </c>
      <c r="S44" s="85">
        <f>+Q44-U44</f>
        <v>-425.13000000000011</v>
      </c>
      <c r="T44" s="243" t="s">
        <v>11</v>
      </c>
      <c r="U44" s="557">
        <v>2100</v>
      </c>
      <c r="V44" s="51"/>
      <c r="X44"/>
      <c r="Y44"/>
    </row>
    <row r="45" spans="1:27" s="127" customFormat="1" ht="27" hidden="1" customHeight="1">
      <c r="B45" s="124"/>
      <c r="C45" s="124"/>
      <c r="D45" s="590" t="str">
        <f t="shared" ref="D45:O45" si="23">IF((+D$7+D$8)=0," ",D46/(+D$7+D$8))</f>
        <v xml:space="preserve"> </v>
      </c>
      <c r="E45" s="590">
        <f t="shared" si="23"/>
        <v>4.9775735696313314E-4</v>
      </c>
      <c r="F45" s="590">
        <f t="shared" si="23"/>
        <v>5.8030717072671739E-2</v>
      </c>
      <c r="G45" s="590">
        <f t="shared" si="23"/>
        <v>6.3814174184115419E-3</v>
      </c>
      <c r="H45" s="141">
        <f t="shared" si="23"/>
        <v>1.3644257008186554E-2</v>
      </c>
      <c r="I45" s="141">
        <f t="shared" si="23"/>
        <v>8.5696052511623662E-3</v>
      </c>
      <c r="J45" s="141">
        <f t="shared" si="23"/>
        <v>3.2573289902280132E-3</v>
      </c>
      <c r="K45" s="141">
        <f t="shared" si="23"/>
        <v>6.3783645873198109E-3</v>
      </c>
      <c r="L45" s="141">
        <f t="shared" si="23"/>
        <v>5.2623056994818649E-3</v>
      </c>
      <c r="M45" s="141">
        <f t="shared" si="23"/>
        <v>6.8119891008174387E-3</v>
      </c>
      <c r="N45" s="141">
        <f t="shared" si="23"/>
        <v>1.3287270794578794E-2</v>
      </c>
      <c r="O45" s="141" t="str">
        <f t="shared" si="23"/>
        <v xml:space="preserve"> </v>
      </c>
      <c r="P45" s="11"/>
      <c r="Q45" s="141">
        <f>IF((+Q$7+Q$8)=0," ",Q46/(+Q$7+Q$8))</f>
        <v>9.6816364217200412E-3</v>
      </c>
      <c r="R45" s="243" t="s">
        <v>11</v>
      </c>
      <c r="S45" s="134"/>
      <c r="T45" s="243" t="s">
        <v>11</v>
      </c>
      <c r="U45" s="558">
        <v>9.8247477429633558E-3</v>
      </c>
      <c r="V45" s="124"/>
      <c r="X45"/>
      <c r="Y45"/>
    </row>
    <row r="46" spans="1:27" s="44" customFormat="1" ht="35.1" hidden="1" customHeight="1">
      <c r="A46" s="465" t="s">
        <v>162</v>
      </c>
      <c r="B46" s="45"/>
      <c r="C46" s="45"/>
      <c r="D46" s="589">
        <v>121.09</v>
      </c>
      <c r="E46" s="589">
        <v>0.91</v>
      </c>
      <c r="F46" s="589">
        <v>794.22</v>
      </c>
      <c r="G46" s="589">
        <v>115.66</v>
      </c>
      <c r="H46" s="145">
        <v>275</v>
      </c>
      <c r="I46" s="145">
        <f>475-5</f>
        <v>470</v>
      </c>
      <c r="J46" s="145">
        <v>250</v>
      </c>
      <c r="K46" s="145">
        <v>250</v>
      </c>
      <c r="L46" s="145">
        <v>325</v>
      </c>
      <c r="M46" s="145">
        <v>350</v>
      </c>
      <c r="N46" s="145">
        <v>250</v>
      </c>
      <c r="O46" s="145">
        <v>250</v>
      </c>
      <c r="P46" s="11"/>
      <c r="Q46" s="139">
        <f t="shared" si="7"/>
        <v>3451.88</v>
      </c>
      <c r="R46" s="243" t="s">
        <v>11</v>
      </c>
      <c r="S46" s="85">
        <f>+Q46-U46</f>
        <v>-248.11999999999989</v>
      </c>
      <c r="T46" s="243" t="s">
        <v>11</v>
      </c>
      <c r="U46" s="557">
        <v>3700</v>
      </c>
      <c r="V46" s="51"/>
      <c r="X46"/>
      <c r="Y46"/>
    </row>
    <row r="47" spans="1:27" s="127" customFormat="1" ht="27" hidden="1" customHeight="1">
      <c r="A47" s="464"/>
      <c r="B47" s="124"/>
      <c r="C47" s="124"/>
      <c r="D47" s="590" t="str">
        <f t="shared" ref="D47:O51" si="24">IF((+D$7+D$8)=0," ",D48/(+D$7+D$8))</f>
        <v xml:space="preserve"> </v>
      </c>
      <c r="E47" s="590">
        <f t="shared" si="24"/>
        <v>6.5638332786347228E-3</v>
      </c>
      <c r="F47" s="590">
        <f t="shared" si="24"/>
        <v>4.0540836755271731E-2</v>
      </c>
      <c r="G47" s="590">
        <f t="shared" si="24"/>
        <v>1.6000441391486663E-2</v>
      </c>
      <c r="H47" s="141">
        <f t="shared" si="24"/>
        <v>0</v>
      </c>
      <c r="I47" s="141">
        <f t="shared" si="24"/>
        <v>9.1166013310237937E-3</v>
      </c>
      <c r="J47" s="141">
        <f t="shared" si="24"/>
        <v>0</v>
      </c>
      <c r="K47" s="141">
        <f t="shared" si="24"/>
        <v>0</v>
      </c>
      <c r="L47" s="141">
        <f t="shared" si="24"/>
        <v>5.2623056994818649E-3</v>
      </c>
      <c r="M47" s="141">
        <f t="shared" si="24"/>
        <v>0</v>
      </c>
      <c r="N47" s="141">
        <f t="shared" si="24"/>
        <v>0</v>
      </c>
      <c r="O47" s="141" t="str">
        <f t="shared" si="24"/>
        <v xml:space="preserve"> </v>
      </c>
      <c r="P47" s="11"/>
      <c r="Q47" s="141">
        <f>IF((+Q$7+Q$8)=0," ",Q48/(+Q$7+Q$8))</f>
        <v>7.052245912016893E-3</v>
      </c>
      <c r="R47" s="243" t="s">
        <v>11</v>
      </c>
      <c r="S47" s="134"/>
      <c r="T47" s="243" t="s">
        <v>11</v>
      </c>
      <c r="U47" s="558">
        <v>1.3542219861922463E-2</v>
      </c>
      <c r="V47" s="124"/>
      <c r="X47"/>
      <c r="Y47"/>
    </row>
    <row r="48" spans="1:27" s="44" customFormat="1" ht="35.1" hidden="1" customHeight="1">
      <c r="A48" s="453" t="s">
        <v>164</v>
      </c>
      <c r="B48" s="45"/>
      <c r="C48" s="45"/>
      <c r="D48" s="589">
        <v>2.5499999999999998</v>
      </c>
      <c r="E48" s="589">
        <v>12</v>
      </c>
      <c r="F48" s="589">
        <v>554.85</v>
      </c>
      <c r="G48" s="589">
        <v>290</v>
      </c>
      <c r="H48" s="497">
        <f>'[1]Input Wrksht '!J23+'[1]Input Wrksht '!J29+'[1]Input Wrksht '!J19</f>
        <v>0</v>
      </c>
      <c r="I48" s="145">
        <f>530-30</f>
        <v>500</v>
      </c>
      <c r="J48" s="497">
        <f>'[1]Input Wrksht '!L23+'[1]Input Wrksht '!L29+'[1]Input Wrksht '!L19</f>
        <v>0</v>
      </c>
      <c r="K48" s="497">
        <v>0</v>
      </c>
      <c r="L48" s="145">
        <v>325</v>
      </c>
      <c r="M48" s="145">
        <v>0</v>
      </c>
      <c r="N48" s="145">
        <v>0</v>
      </c>
      <c r="O48" s="145">
        <f>1000-170</f>
        <v>830</v>
      </c>
      <c r="P48" s="11"/>
      <c r="Q48" s="139">
        <f t="shared" si="7"/>
        <v>2514.4</v>
      </c>
      <c r="R48" s="243" t="s">
        <v>11</v>
      </c>
      <c r="S48" s="85">
        <f>+Q48-U48</f>
        <v>-2585.6</v>
      </c>
      <c r="T48" s="243" t="s">
        <v>11</v>
      </c>
      <c r="U48" s="557">
        <v>5100</v>
      </c>
      <c r="V48" s="51"/>
      <c r="X48"/>
      <c r="Y48"/>
    </row>
    <row r="49" spans="1:32" s="127" customFormat="1" ht="27" hidden="1" customHeight="1">
      <c r="A49" s="124"/>
      <c r="B49" s="124"/>
      <c r="C49" s="124"/>
      <c r="D49" s="590" t="str">
        <f t="shared" si="24"/>
        <v xml:space="preserve"> </v>
      </c>
      <c r="E49" s="590">
        <f>IF((+E$7+E$8)=0," ",E50/(+E$7+E$8))</f>
        <v>9.8457499179520833E-2</v>
      </c>
      <c r="F49" s="590">
        <f t="shared" si="24"/>
        <v>1.3151934064970554E-2</v>
      </c>
      <c r="G49" s="590">
        <f t="shared" si="24"/>
        <v>9.9313084498882723E-3</v>
      </c>
      <c r="H49" s="141">
        <f t="shared" si="24"/>
        <v>8.9307864053584721E-3</v>
      </c>
      <c r="I49" s="141">
        <f t="shared" si="24"/>
        <v>3.2819764791685658E-3</v>
      </c>
      <c r="J49" s="141">
        <f t="shared" si="24"/>
        <v>2.3452768729641696E-3</v>
      </c>
      <c r="K49" s="141">
        <f t="shared" si="24"/>
        <v>4.5924225028702642E-3</v>
      </c>
      <c r="L49" s="141">
        <f t="shared" si="24"/>
        <v>2.9145077720207253E-3</v>
      </c>
      <c r="M49" s="141">
        <f t="shared" si="24"/>
        <v>3.5033086804203972E-3</v>
      </c>
      <c r="N49" s="141">
        <f t="shared" si="24"/>
        <v>9.566834972096731E-3</v>
      </c>
      <c r="O49" s="141" t="str">
        <f t="shared" si="24"/>
        <v xml:space="preserve"> </v>
      </c>
      <c r="P49" s="11"/>
      <c r="Q49" s="141">
        <f>IF((+Q$7+Q$8)=0," ",Q50/(+Q$7+Q$8))</f>
        <v>6.0582449769155623E-3</v>
      </c>
      <c r="R49" s="243" t="s">
        <v>11</v>
      </c>
      <c r="S49" s="134"/>
      <c r="T49" s="243" t="s">
        <v>11</v>
      </c>
      <c r="U49" s="558">
        <v>6.3728093467870419E-3</v>
      </c>
      <c r="V49" s="124"/>
      <c r="X49"/>
      <c r="Y49"/>
    </row>
    <row r="50" spans="1:32" s="127" customFormat="1" ht="27" hidden="1" customHeight="1">
      <c r="A50" s="453" t="s">
        <v>165</v>
      </c>
      <c r="B50" s="124"/>
      <c r="C50" s="124"/>
      <c r="D50" s="589">
        <v>180</v>
      </c>
      <c r="E50" s="589">
        <f>D50</f>
        <v>180</v>
      </c>
      <c r="F50" s="589">
        <f t="shared" ref="F50:O50" si="25">E50</f>
        <v>180</v>
      </c>
      <c r="G50" s="589">
        <f t="shared" si="25"/>
        <v>180</v>
      </c>
      <c r="H50" s="145">
        <f t="shared" si="25"/>
        <v>180</v>
      </c>
      <c r="I50" s="145">
        <f t="shared" si="25"/>
        <v>180</v>
      </c>
      <c r="J50" s="145">
        <f t="shared" si="25"/>
        <v>180</v>
      </c>
      <c r="K50" s="145">
        <f t="shared" si="25"/>
        <v>180</v>
      </c>
      <c r="L50" s="145">
        <f t="shared" si="25"/>
        <v>180</v>
      </c>
      <c r="M50" s="145">
        <f t="shared" si="25"/>
        <v>180</v>
      </c>
      <c r="N50" s="145">
        <f t="shared" si="25"/>
        <v>180</v>
      </c>
      <c r="O50" s="145">
        <f t="shared" si="25"/>
        <v>180</v>
      </c>
      <c r="P50" s="11"/>
      <c r="Q50" s="139">
        <f t="shared" ref="Q50" si="26">SUM(D50:O50)</f>
        <v>2160</v>
      </c>
      <c r="R50" s="243" t="s">
        <v>11</v>
      </c>
      <c r="S50" s="134"/>
      <c r="T50" s="243" t="s">
        <v>11</v>
      </c>
      <c r="U50" s="557">
        <v>2400</v>
      </c>
      <c r="V50" s="124"/>
      <c r="X50"/>
      <c r="Y50"/>
    </row>
    <row r="51" spans="1:32" s="127" customFormat="1" ht="27" hidden="1" customHeight="1">
      <c r="A51" s="124"/>
      <c r="B51" s="124"/>
      <c r="C51" s="124"/>
      <c r="D51" s="590" t="str">
        <f>IF((+D$7+D$8)=0," ",D52/(+D$7+D$8))</f>
        <v xml:space="preserve"> </v>
      </c>
      <c r="E51" s="591">
        <f t="shared" ref="E51:F51" si="27">IF((+E$7+E$8)=0," ",E52/(+E$7+E$8))</f>
        <v>-2.0161907887539656E-2</v>
      </c>
      <c r="F51" s="591">
        <f t="shared" si="27"/>
        <v>0</v>
      </c>
      <c r="G51" s="590">
        <f t="shared" si="24"/>
        <v>0</v>
      </c>
      <c r="H51" s="141">
        <f t="shared" si="24"/>
        <v>0</v>
      </c>
      <c r="I51" s="141">
        <f t="shared" si="24"/>
        <v>0</v>
      </c>
      <c r="J51" s="141">
        <f t="shared" si="24"/>
        <v>0</v>
      </c>
      <c r="K51" s="141">
        <f t="shared" si="24"/>
        <v>0</v>
      </c>
      <c r="L51" s="141">
        <f t="shared" si="24"/>
        <v>0</v>
      </c>
      <c r="M51" s="141">
        <f t="shared" si="24"/>
        <v>1.9462826002335538E-4</v>
      </c>
      <c r="N51" s="498">
        <f t="shared" si="24"/>
        <v>0</v>
      </c>
      <c r="O51" s="498" t="str">
        <f t="shared" si="24"/>
        <v xml:space="preserve"> </v>
      </c>
      <c r="P51" s="11"/>
      <c r="Q51" s="141">
        <f>IF((+Q$7+Q$8)=0," ",Q52/(+Q$7+Q$8))</f>
        <v>9.6230733869431917E-5</v>
      </c>
      <c r="R51" s="243" t="s">
        <v>11</v>
      </c>
      <c r="S51" s="134"/>
      <c r="T51" s="243" t="s">
        <v>11</v>
      </c>
      <c r="U51" s="558">
        <v>1.3276686139139671E-3</v>
      </c>
      <c r="V51" s="124"/>
      <c r="X51"/>
      <c r="Y51"/>
    </row>
    <row r="52" spans="1:32" s="44" customFormat="1" ht="35.1" hidden="1" customHeight="1">
      <c r="A52" s="453" t="s">
        <v>166</v>
      </c>
      <c r="B52" s="45"/>
      <c r="C52" s="45"/>
      <c r="D52" s="600">
        <v>61.17</v>
      </c>
      <c r="E52" s="592">
        <v>-36.86</v>
      </c>
      <c r="F52" s="592">
        <v>0</v>
      </c>
      <c r="G52" s="589">
        <v>0</v>
      </c>
      <c r="H52" s="145">
        <v>0</v>
      </c>
      <c r="I52" s="145">
        <v>0</v>
      </c>
      <c r="J52" s="145">
        <v>0</v>
      </c>
      <c r="K52" s="145">
        <v>0</v>
      </c>
      <c r="L52" s="145">
        <f>H52</f>
        <v>0</v>
      </c>
      <c r="M52" s="145">
        <v>10</v>
      </c>
      <c r="N52" s="497">
        <v>0</v>
      </c>
      <c r="O52" s="497">
        <v>0</v>
      </c>
      <c r="P52" s="11"/>
      <c r="Q52" s="139">
        <f t="shared" si="7"/>
        <v>34.31</v>
      </c>
      <c r="R52" s="243" t="s">
        <v>11</v>
      </c>
      <c r="S52" s="85">
        <f>+Q52-U52</f>
        <v>-465.69</v>
      </c>
      <c r="T52" s="243" t="s">
        <v>11</v>
      </c>
      <c r="U52" s="557">
        <v>500</v>
      </c>
      <c r="V52" s="51"/>
      <c r="X52"/>
      <c r="Y52"/>
    </row>
    <row r="53" spans="1:32" s="44" customFormat="1" ht="35.1" customHeight="1">
      <c r="A53" s="453"/>
      <c r="B53" s="45"/>
      <c r="C53" s="45"/>
      <c r="D53" s="598"/>
      <c r="E53" s="598"/>
      <c r="F53" s="598"/>
      <c r="G53" s="598"/>
      <c r="H53" s="598"/>
      <c r="I53" s="598"/>
      <c r="J53" s="598"/>
      <c r="K53" s="598"/>
      <c r="L53" s="598"/>
      <c r="M53" s="598"/>
      <c r="N53" s="599"/>
      <c r="O53" s="599"/>
      <c r="P53" s="11"/>
      <c r="Q53" s="48"/>
      <c r="R53" s="48"/>
      <c r="S53" s="85"/>
      <c r="T53" s="48"/>
      <c r="U53" s="48"/>
      <c r="V53" s="48"/>
      <c r="X53"/>
      <c r="Y53"/>
    </row>
    <row r="54" spans="1:32" s="44" customFormat="1" ht="35.1" customHeight="1">
      <c r="A54" s="453" t="s">
        <v>331</v>
      </c>
      <c r="B54" s="45"/>
      <c r="C54" s="45"/>
      <c r="D54" s="597">
        <f>SUM(D44,D46,D48,D50,D52)</f>
        <v>377.77000000000004</v>
      </c>
      <c r="E54" s="597">
        <f t="shared" ref="E54:U54" si="28">SUM(E44,E46,E48,E50,E52)</f>
        <v>217.95999999999998</v>
      </c>
      <c r="F54" s="597">
        <f t="shared" si="28"/>
        <v>1529.0700000000002</v>
      </c>
      <c r="G54" s="597">
        <f>SUM(G44,G46,G48,G50,G52)-1</f>
        <v>584.66</v>
      </c>
      <c r="H54" s="601">
        <f t="shared" si="28"/>
        <v>655</v>
      </c>
      <c r="I54" s="601">
        <f>SUM(I44,I46,I48,I50,I52)-0</f>
        <v>1350</v>
      </c>
      <c r="J54" s="601">
        <f t="shared" si="28"/>
        <v>630</v>
      </c>
      <c r="K54" s="601">
        <f t="shared" si="28"/>
        <v>630</v>
      </c>
      <c r="L54" s="601">
        <f t="shared" si="28"/>
        <v>1030</v>
      </c>
      <c r="M54" s="601">
        <f t="shared" si="28"/>
        <v>740</v>
      </c>
      <c r="N54" s="601">
        <f t="shared" si="28"/>
        <v>630</v>
      </c>
      <c r="O54" s="601">
        <f t="shared" si="28"/>
        <v>1460</v>
      </c>
      <c r="P54" s="11"/>
      <c r="Q54" s="601">
        <f>SUM(Q44,Q46,Q48,Q50,Q52)-1</f>
        <v>9834.4599999999991</v>
      </c>
      <c r="R54" s="243" t="s">
        <v>11</v>
      </c>
      <c r="S54" s="502">
        <f>+Q54-U54</f>
        <v>-3965.5400000000009</v>
      </c>
      <c r="T54" s="243" t="s">
        <v>11</v>
      </c>
      <c r="U54" s="603">
        <f t="shared" si="28"/>
        <v>13800</v>
      </c>
      <c r="V54" s="51"/>
      <c r="X54"/>
      <c r="Y54"/>
    </row>
    <row r="55" spans="1:32" s="127" customFormat="1" ht="27" customHeight="1">
      <c r="A55" s="45"/>
      <c r="B55" s="45"/>
      <c r="C55" s="45"/>
      <c r="D55" s="155"/>
      <c r="E55" s="155"/>
      <c r="F55" s="155"/>
      <c r="G55" s="155"/>
      <c r="H55" s="155"/>
      <c r="I55" s="155"/>
      <c r="J55" s="155"/>
      <c r="K55" s="48"/>
      <c r="L55" s="48"/>
      <c r="M55" s="48"/>
      <c r="N55" s="48"/>
      <c r="O55" s="48"/>
      <c r="P55" s="11"/>
      <c r="Q55" s="132"/>
      <c r="R55" s="243" t="s">
        <v>11</v>
      </c>
      <c r="S55" s="132"/>
      <c r="T55" s="243" t="s">
        <v>11</v>
      </c>
      <c r="U55" s="132"/>
      <c r="V55" s="132"/>
      <c r="X55" s="143"/>
      <c r="Y55" s="132"/>
    </row>
    <row r="56" spans="1:32" s="44" customFormat="1" ht="35.1" customHeight="1" thickBot="1">
      <c r="A56" s="271"/>
      <c r="B56" s="62" t="s">
        <v>63</v>
      </c>
      <c r="C56" s="62"/>
      <c r="D56" s="597">
        <f t="shared" ref="D56:O56" si="29">D24+D42+D54</f>
        <v>20599.969999999998</v>
      </c>
      <c r="E56" s="597">
        <f t="shared" si="29"/>
        <v>21399.200000000001</v>
      </c>
      <c r="F56" s="597">
        <f t="shared" si="29"/>
        <v>29137.5</v>
      </c>
      <c r="G56" s="597">
        <f t="shared" si="29"/>
        <v>25362.989999999998</v>
      </c>
      <c r="H56" s="601">
        <f>H24+H42+H54</f>
        <v>32260.080000000002</v>
      </c>
      <c r="I56" s="601">
        <f>I24+I42+I54</f>
        <v>46330</v>
      </c>
      <c r="J56" s="601">
        <f>J24+J42+J54</f>
        <v>61820</v>
      </c>
      <c r="K56" s="601">
        <f>K24+K42+K54</f>
        <v>35595</v>
      </c>
      <c r="L56" s="601">
        <f t="shared" si="29"/>
        <v>45380</v>
      </c>
      <c r="M56" s="601">
        <f t="shared" si="29"/>
        <v>39415</v>
      </c>
      <c r="N56" s="601">
        <f t="shared" si="29"/>
        <v>21875</v>
      </c>
      <c r="O56" s="601">
        <f t="shared" si="29"/>
        <v>18880</v>
      </c>
      <c r="P56" s="11"/>
      <c r="Q56" s="295">
        <f>Q24+Q42+Q54</f>
        <v>398054.74</v>
      </c>
      <c r="R56" s="243" t="s">
        <v>11</v>
      </c>
      <c r="S56" s="167">
        <f>S24+S42+S54</f>
        <v>8754.7399999999689</v>
      </c>
      <c r="T56" s="243" t="s">
        <v>11</v>
      </c>
      <c r="U56" s="614">
        <f>U24+U42+U54</f>
        <v>389300</v>
      </c>
      <c r="V56" s="124"/>
      <c r="W56" s="44">
        <f>SUM(D56:O56)</f>
        <v>398054.74</v>
      </c>
      <c r="X56" s="143"/>
      <c r="Y56" s="167">
        <f>'TOC R&amp;E Projection 2022'!W51</f>
        <v>405240</v>
      </c>
      <c r="AA56" s="613">
        <f>Q56-U56</f>
        <v>8754.7399999999907</v>
      </c>
      <c r="AF56" s="624">
        <f>SUM(D56:O56)</f>
        <v>398054.74</v>
      </c>
    </row>
    <row r="57" spans="1:32" s="51" customFormat="1" ht="27" thickTop="1">
      <c r="A57" s="56"/>
      <c r="B57" s="56"/>
      <c r="C57" s="56"/>
      <c r="D57" s="56"/>
      <c r="E57" s="56"/>
      <c r="F57" s="56"/>
      <c r="G57" s="56"/>
      <c r="H57" s="56" t="s">
        <v>11</v>
      </c>
      <c r="I57" s="56"/>
      <c r="J57" s="56"/>
      <c r="K57" s="56"/>
      <c r="L57" s="56"/>
      <c r="M57" s="56"/>
      <c r="N57" s="56"/>
      <c r="O57" s="56"/>
      <c r="P57" s="56"/>
      <c r="Q57" s="56"/>
      <c r="R57" s="243" t="s">
        <v>11</v>
      </c>
      <c r="S57" s="134"/>
      <c r="T57" s="243" t="s">
        <v>11</v>
      </c>
      <c r="U57" s="56"/>
      <c r="V57" s="124"/>
      <c r="X57" s="143"/>
      <c r="Y57" s="56"/>
    </row>
    <row r="58" spans="1:32" s="85" customFormat="1" ht="50.1" customHeight="1" thickBot="1">
      <c r="A58" s="272"/>
      <c r="B58" s="273" t="s">
        <v>65</v>
      </c>
      <c r="C58" s="274"/>
      <c r="D58" s="385">
        <f>+D13-D56</f>
        <v>-20599.969999999998</v>
      </c>
      <c r="E58" s="385">
        <f>+E13-E56</f>
        <v>-19662.41</v>
      </c>
      <c r="F58" s="385">
        <f>+F13-F56</f>
        <v>-15843.859999999999</v>
      </c>
      <c r="G58" s="385">
        <f>+G13-G56</f>
        <v>-7238.489999999998</v>
      </c>
      <c r="H58" s="165">
        <f>+H13-H56</f>
        <v>2794.9199999999983</v>
      </c>
      <c r="I58" s="165">
        <f t="shared" ref="I58:O58" si="30">+I13-I56</f>
        <v>10715</v>
      </c>
      <c r="J58" s="165">
        <f t="shared" si="30"/>
        <v>16330</v>
      </c>
      <c r="K58" s="165">
        <f t="shared" si="30"/>
        <v>3600</v>
      </c>
      <c r="L58" s="165">
        <f t="shared" si="30"/>
        <v>16380</v>
      </c>
      <c r="M58" s="165">
        <f t="shared" si="30"/>
        <v>11965</v>
      </c>
      <c r="N58" s="165">
        <f t="shared" si="30"/>
        <v>-3060</v>
      </c>
      <c r="O58" s="165">
        <f t="shared" si="30"/>
        <v>-18880</v>
      </c>
      <c r="P58" s="11"/>
      <c r="Q58" s="234">
        <f>+Q13-Q56</f>
        <v>-23499.809999999939</v>
      </c>
      <c r="R58" s="243" t="s">
        <v>11</v>
      </c>
      <c r="S58" s="134">
        <f>Q58-U58</f>
        <v>-23499.809999999939</v>
      </c>
      <c r="T58" s="243" t="s">
        <v>11</v>
      </c>
      <c r="U58" s="614">
        <f>+U13-U56</f>
        <v>0</v>
      </c>
      <c r="V58" s="124"/>
      <c r="W58" s="44">
        <f>Q13-Q56</f>
        <v>-23499.809999999939</v>
      </c>
      <c r="X58" s="143"/>
      <c r="Y58" s="506">
        <f>+Y13-Y56</f>
        <v>-167660</v>
      </c>
      <c r="AF58" s="624">
        <f>SUM(D58:O58)</f>
        <v>-23499.809999999998</v>
      </c>
    </row>
    <row r="59" spans="1:32" s="15" customFormat="1" ht="27" thickTop="1">
      <c r="A59" s="172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/>
      <c r="T59" s="172"/>
      <c r="U59" s="162"/>
      <c r="V59" s="124"/>
      <c r="X59"/>
      <c r="Y59"/>
      <c r="Z59"/>
      <c r="AA59"/>
    </row>
    <row r="60" spans="1:32" s="15" customFormat="1" ht="27" customHeight="1">
      <c r="A60" s="616"/>
      <c r="B60" s="617"/>
      <c r="C60" s="618" t="s">
        <v>341</v>
      </c>
      <c r="D60" s="597">
        <v>20000</v>
      </c>
      <c r="E60" s="606">
        <v>0</v>
      </c>
      <c r="F60" s="606">
        <v>0</v>
      </c>
      <c r="G60" s="606">
        <v>0</v>
      </c>
      <c r="H60" s="607">
        <v>0</v>
      </c>
      <c r="I60" s="607">
        <v>0</v>
      </c>
      <c r="J60" s="607">
        <v>0</v>
      </c>
      <c r="K60" s="607">
        <v>0</v>
      </c>
      <c r="L60" s="607">
        <v>0</v>
      </c>
      <c r="M60" s="607">
        <v>0</v>
      </c>
      <c r="N60" s="607">
        <v>0</v>
      </c>
      <c r="O60" s="607">
        <v>0</v>
      </c>
      <c r="P60" s="11"/>
      <c r="Q60" s="619">
        <f>SUM(D60:O60)</f>
        <v>20000</v>
      </c>
      <c r="R60" s="132"/>
      <c r="S60"/>
      <c r="T60" s="132"/>
      <c r="U60" s="51"/>
      <c r="V60" s="51"/>
      <c r="X60"/>
      <c r="Y60"/>
      <c r="Z60"/>
      <c r="AA60"/>
      <c r="AF60" s="625">
        <f>Q60</f>
        <v>20000</v>
      </c>
    </row>
    <row r="61" spans="1:32" s="15" customFormat="1" ht="27" customHeight="1">
      <c r="A61" s="173"/>
      <c r="E61" s="175"/>
      <c r="F61" s="175"/>
      <c r="G61" s="175"/>
      <c r="H61" s="175"/>
      <c r="I61" s="175"/>
      <c r="J61" s="175"/>
      <c r="K61" s="175"/>
      <c r="L61" s="175"/>
      <c r="M61" s="175"/>
      <c r="N61" s="173"/>
      <c r="O61" s="173"/>
      <c r="P61" s="11"/>
      <c r="Q61" s="173"/>
      <c r="R61" s="132"/>
      <c r="S61" s="51"/>
      <c r="T61" s="132"/>
      <c r="U61" s="51"/>
      <c r="V61" s="51"/>
      <c r="Y61" s="51"/>
    </row>
    <row r="62" spans="1:32" s="85" customFormat="1" ht="67.900000000000006" customHeight="1" thickBot="1">
      <c r="A62" s="749" t="s">
        <v>335</v>
      </c>
      <c r="B62" s="749"/>
      <c r="C62" s="749"/>
      <c r="D62" s="608">
        <f>SUM(D58:D60)</f>
        <v>-599.96999999999753</v>
      </c>
      <c r="E62" s="608">
        <f t="shared" ref="E62:O62" si="31">E58+E60</f>
        <v>-19662.41</v>
      </c>
      <c r="F62" s="608">
        <f t="shared" si="31"/>
        <v>-15843.859999999999</v>
      </c>
      <c r="G62" s="608">
        <f t="shared" si="31"/>
        <v>-7238.489999999998</v>
      </c>
      <c r="H62" s="611">
        <f t="shared" si="31"/>
        <v>2794.9199999999983</v>
      </c>
      <c r="I62" s="611">
        <f t="shared" si="31"/>
        <v>10715</v>
      </c>
      <c r="J62" s="611">
        <f t="shared" si="31"/>
        <v>16330</v>
      </c>
      <c r="K62" s="611">
        <f t="shared" si="31"/>
        <v>3600</v>
      </c>
      <c r="L62" s="611">
        <f t="shared" si="31"/>
        <v>16380</v>
      </c>
      <c r="M62" s="611">
        <f t="shared" si="31"/>
        <v>11965</v>
      </c>
      <c r="N62" s="611">
        <f t="shared" si="31"/>
        <v>-3060</v>
      </c>
      <c r="O62" s="611">
        <f t="shared" si="31"/>
        <v>-18880</v>
      </c>
      <c r="P62" s="11"/>
      <c r="Q62" s="615">
        <f>SUM(Q58,Q60)</f>
        <v>-3499.8099999999395</v>
      </c>
      <c r="R62" s="243" t="s">
        <v>11</v>
      </c>
      <c r="S62" s="134"/>
      <c r="T62" s="243" t="s">
        <v>11</v>
      </c>
      <c r="V62" s="124"/>
      <c r="W62" s="769" t="s">
        <v>120</v>
      </c>
      <c r="X62" s="769"/>
      <c r="Y62" s="769"/>
      <c r="Z62" s="769"/>
      <c r="AA62" s="769"/>
      <c r="AB62" s="769"/>
      <c r="AC62" s="769"/>
      <c r="AF62" s="626">
        <f>SUM(AF58,AF60)</f>
        <v>-3499.8099999999977</v>
      </c>
    </row>
    <row r="63" spans="1:32" s="15" customFormat="1" ht="27" customHeight="1" thickTop="1" thickBot="1">
      <c r="A63" s="173"/>
      <c r="E63" s="175"/>
      <c r="F63" s="175"/>
      <c r="P63" s="11"/>
      <c r="Q63" s="173"/>
      <c r="R63" s="132"/>
      <c r="S63" s="51"/>
      <c r="T63" s="132"/>
      <c r="U63" s="51"/>
      <c r="V63" s="51"/>
      <c r="W63" s="85">
        <f>'[3]TOC R&amp;E Projection 2022'!$Q$53</f>
        <v>-12711.329999999958</v>
      </c>
      <c r="X63" s="15" t="s">
        <v>337</v>
      </c>
      <c r="Y63" s="51"/>
      <c r="AF63" s="627">
        <f>SUM(D62:O62)</f>
        <v>-3499.8099999999977</v>
      </c>
    </row>
    <row r="64" spans="1:32" s="15" customFormat="1" ht="27" thickTop="1">
      <c r="A64" s="173"/>
      <c r="B64" s="173"/>
      <c r="C64" s="173"/>
      <c r="D64" s="171"/>
      <c r="E64" s="171"/>
      <c r="F64" s="171"/>
      <c r="G64" s="175"/>
      <c r="H64" s="175"/>
      <c r="I64" s="175"/>
      <c r="J64" s="175"/>
      <c r="K64" s="175"/>
      <c r="L64" s="175"/>
      <c r="M64" s="175"/>
      <c r="N64" s="173"/>
      <c r="O64" s="173"/>
      <c r="P64" s="11"/>
      <c r="Q64" s="173"/>
      <c r="R64" s="132"/>
      <c r="S64" s="51"/>
      <c r="T64" s="132"/>
      <c r="U64" s="51"/>
      <c r="V64" s="51"/>
      <c r="W64" s="15">
        <f>H9</f>
        <v>14700</v>
      </c>
      <c r="X64" s="15" t="s">
        <v>338</v>
      </c>
      <c r="Y64" s="51"/>
    </row>
    <row r="65" spans="1:25" s="15" customFormat="1" ht="27" hidden="1" thickBot="1">
      <c r="A65" s="173"/>
      <c r="B65" s="750" t="s">
        <v>342</v>
      </c>
      <c r="C65" s="750"/>
      <c r="D65" s="171"/>
      <c r="E65" s="175">
        <f>SUM($D$62:E62)</f>
        <v>-20262.379999999997</v>
      </c>
      <c r="F65" s="175">
        <f>SUM($D$62:F62)</f>
        <v>-36106.239999999998</v>
      </c>
      <c r="G65" s="175">
        <f>SUM($D$62:G62)</f>
        <v>-43344.729999999996</v>
      </c>
      <c r="H65" s="175">
        <f>SUM($D$62:H62)</f>
        <v>-40549.81</v>
      </c>
      <c r="I65" s="175">
        <f>SUM($D$62:I62)</f>
        <v>-29834.809999999998</v>
      </c>
      <c r="J65" s="175">
        <f>SUM($D$62:J62)</f>
        <v>-13504.809999999998</v>
      </c>
      <c r="K65" s="175">
        <f>SUM($D$62:K62)</f>
        <v>-9904.8099999999977</v>
      </c>
      <c r="L65" s="175">
        <f>SUM($D$62:L62)</f>
        <v>6475.1900000000023</v>
      </c>
      <c r="M65" s="175">
        <f>SUM($D$62:M62)</f>
        <v>18440.190000000002</v>
      </c>
      <c r="N65" s="175">
        <f>SUM($D$62:N62)</f>
        <v>15380.190000000002</v>
      </c>
      <c r="O65" s="175">
        <f>SUM($D$62:O62)</f>
        <v>-3499.8099999999977</v>
      </c>
      <c r="P65" s="11"/>
      <c r="Q65" s="615">
        <f>SUM(D62:O62)</f>
        <v>-3499.8099999999977</v>
      </c>
      <c r="R65" s="132"/>
      <c r="S65" s="51"/>
      <c r="T65" s="132"/>
      <c r="U65" s="51"/>
      <c r="V65" s="51"/>
      <c r="W65" s="15">
        <v>-5000</v>
      </c>
      <c r="X65" s="15" t="s">
        <v>339</v>
      </c>
      <c r="Y65" s="51"/>
    </row>
    <row r="66" spans="1:25" s="15" customFormat="1" ht="33.75">
      <c r="A66" s="173"/>
      <c r="B66" s="173"/>
      <c r="C66" s="173"/>
      <c r="D66" s="171"/>
      <c r="E66" s="628" t="s">
        <v>346</v>
      </c>
      <c r="F66" s="751" t="s">
        <v>347</v>
      </c>
      <c r="G66" s="751"/>
      <c r="H66" s="751"/>
      <c r="I66" s="751"/>
      <c r="J66" s="751"/>
      <c r="K66" s="751"/>
      <c r="L66" s="751"/>
      <c r="M66" s="175"/>
      <c r="N66" s="173"/>
      <c r="O66" s="173"/>
      <c r="P66" s="11"/>
      <c r="Q66" s="173"/>
      <c r="R66" s="132"/>
      <c r="S66" s="51"/>
      <c r="T66" s="132"/>
      <c r="U66" s="51"/>
      <c r="V66" s="51"/>
      <c r="W66" s="15">
        <v>-500</v>
      </c>
      <c r="X66" s="15" t="s">
        <v>340</v>
      </c>
      <c r="Y66" s="51"/>
    </row>
    <row r="67" spans="1:25" s="15" customFormat="1" ht="27" thickBot="1">
      <c r="A67" s="173"/>
      <c r="B67" s="173"/>
      <c r="C67" s="173"/>
      <c r="D67" s="171"/>
      <c r="E67" s="171"/>
      <c r="F67" s="171"/>
      <c r="G67" s="175"/>
      <c r="H67" s="175"/>
      <c r="I67" s="175"/>
      <c r="J67" s="175"/>
      <c r="K67" s="175"/>
      <c r="L67" s="175"/>
      <c r="M67" s="175"/>
      <c r="N67" s="173"/>
      <c r="O67" s="173"/>
      <c r="P67" s="11"/>
      <c r="Q67" s="173"/>
      <c r="R67" s="132"/>
      <c r="S67" s="51"/>
      <c r="T67" s="132"/>
      <c r="U67" s="51"/>
      <c r="V67" s="51"/>
      <c r="W67" s="621">
        <f>SUM(W63:W66)</f>
        <v>-3511.3299999999581</v>
      </c>
      <c r="Y67" s="51"/>
    </row>
    <row r="68" spans="1:25" s="15" customFormat="1" ht="28.5" customHeight="1">
      <c r="A68" s="182"/>
      <c r="B68" s="182"/>
      <c r="C68" s="182"/>
      <c r="D68" s="171"/>
      <c r="E68" s="171"/>
      <c r="F68" s="171"/>
      <c r="G68" s="175"/>
      <c r="H68" s="175"/>
      <c r="I68" s="175"/>
      <c r="J68" s="175"/>
      <c r="K68" s="175"/>
      <c r="L68" s="175"/>
      <c r="M68" s="175"/>
      <c r="N68" s="173"/>
      <c r="O68" s="173"/>
      <c r="P68" s="173"/>
      <c r="Q68" s="173"/>
      <c r="R68" s="132"/>
      <c r="S68" s="51"/>
      <c r="T68" s="132"/>
      <c r="U68" s="51"/>
      <c r="V68" s="51"/>
      <c r="Y68" s="51"/>
    </row>
    <row r="69" spans="1:25" s="15" customFormat="1" ht="21" customHeight="1">
      <c r="A69" s="768" t="s">
        <v>11</v>
      </c>
      <c r="B69" s="768"/>
      <c r="C69" s="595"/>
      <c r="D69" s="171"/>
      <c r="E69" s="171"/>
      <c r="F69" s="171"/>
      <c r="G69" s="175"/>
      <c r="H69" s="175"/>
      <c r="I69" s="175"/>
      <c r="J69" s="175"/>
      <c r="K69" s="175"/>
      <c r="L69" s="175"/>
      <c r="M69" s="175"/>
      <c r="N69" s="173"/>
      <c r="O69" s="173"/>
      <c r="P69" s="173"/>
      <c r="Q69" s="173"/>
      <c r="R69" s="132"/>
      <c r="S69" s="51"/>
      <c r="T69" s="132"/>
      <c r="U69" s="51"/>
      <c r="V69" s="51"/>
      <c r="Y69" s="51"/>
    </row>
    <row r="70" spans="1:25" s="15" customFormat="1" ht="21" customHeight="1">
      <c r="A70" s="176"/>
      <c r="B70" s="176"/>
      <c r="C70" s="176"/>
      <c r="D70" s="171"/>
      <c r="E70" s="171"/>
      <c r="F70" s="171"/>
      <c r="G70" s="175"/>
      <c r="H70" s="175"/>
      <c r="I70" s="175"/>
      <c r="J70" s="175"/>
      <c r="K70" s="175"/>
      <c r="L70" s="175"/>
      <c r="M70" s="175"/>
      <c r="N70" s="171"/>
      <c r="O70" s="171"/>
      <c r="P70" s="171"/>
      <c r="Q70" s="171"/>
      <c r="R70" s="132"/>
      <c r="S70" s="51"/>
      <c r="T70" s="132"/>
      <c r="U70" s="51"/>
      <c r="V70" s="51"/>
      <c r="Y70" s="51"/>
    </row>
    <row r="71" spans="1:25" s="15" customFormat="1" ht="21" customHeight="1">
      <c r="A71" s="176"/>
      <c r="B71" s="176"/>
      <c r="C71" s="176"/>
      <c r="D71" s="171"/>
      <c r="E71" s="171"/>
      <c r="F71" s="171"/>
      <c r="G71" s="175"/>
      <c r="H71" s="175"/>
      <c r="I71" s="175"/>
      <c r="J71" s="175"/>
      <c r="K71" s="175"/>
      <c r="L71" s="175"/>
      <c r="M71" s="175"/>
      <c r="N71" s="171"/>
      <c r="O71" s="171"/>
      <c r="P71" s="171"/>
      <c r="Q71" s="171"/>
      <c r="R71" s="132"/>
      <c r="S71" s="51"/>
      <c r="T71" s="132"/>
      <c r="U71" s="51"/>
      <c r="V71" s="51"/>
      <c r="Y71" s="51"/>
    </row>
    <row r="72" spans="1:25" s="15" customFormat="1" ht="27" customHeight="1">
      <c r="A72" s="176"/>
      <c r="B72" s="176"/>
      <c r="C72" s="176"/>
      <c r="D72" s="171"/>
      <c r="E72" s="171"/>
      <c r="F72" s="171"/>
      <c r="G72" s="175"/>
      <c r="H72" s="175"/>
      <c r="I72" s="175"/>
      <c r="J72" s="175"/>
      <c r="K72" s="175"/>
      <c r="L72" s="175"/>
      <c r="M72" s="175"/>
      <c r="N72" s="171"/>
      <c r="O72" s="171"/>
      <c r="P72" s="171"/>
      <c r="Q72" s="171"/>
      <c r="R72" s="171"/>
      <c r="S72" s="51"/>
      <c r="T72" s="171"/>
      <c r="U72" s="51"/>
      <c r="V72" s="51"/>
      <c r="Y72" s="51"/>
    </row>
    <row r="73" spans="1:25" s="15" customFormat="1" ht="21" customHeight="1">
      <c r="A73" s="176"/>
      <c r="B73" s="176"/>
      <c r="C73" s="176"/>
      <c r="D73" s="171"/>
      <c r="E73" s="171"/>
      <c r="F73" s="171"/>
      <c r="G73" s="175"/>
      <c r="H73" s="175"/>
      <c r="I73" s="175"/>
      <c r="J73" s="175"/>
      <c r="K73" s="175"/>
      <c r="L73" s="175"/>
      <c r="M73" s="175"/>
      <c r="N73" s="171"/>
      <c r="O73" s="171"/>
      <c r="P73" s="171"/>
      <c r="Q73" s="171"/>
      <c r="R73" s="171"/>
      <c r="S73" s="51"/>
      <c r="T73" s="171"/>
      <c r="U73" s="51"/>
      <c r="V73" s="51"/>
      <c r="Y73" s="51"/>
    </row>
    <row r="74" spans="1:25" s="15" customFormat="1" ht="21" customHeight="1">
      <c r="A74" s="176"/>
      <c r="B74" s="176"/>
      <c r="C74" s="176"/>
      <c r="D74" s="171"/>
      <c r="E74" s="171"/>
      <c r="F74" s="171"/>
      <c r="G74" s="175"/>
      <c r="H74" s="175"/>
      <c r="I74" s="175"/>
      <c r="J74" s="175"/>
      <c r="K74" s="175"/>
      <c r="L74" s="175"/>
      <c r="M74" s="175"/>
      <c r="N74" s="171"/>
      <c r="O74" s="171"/>
      <c r="P74" s="171"/>
      <c r="Q74" s="171"/>
      <c r="R74" s="171"/>
      <c r="S74" s="51"/>
      <c r="T74" s="171"/>
      <c r="U74" s="51"/>
      <c r="V74" s="51"/>
      <c r="Y74" s="51"/>
    </row>
    <row r="75" spans="1:25" s="15" customFormat="1" ht="21" customHeight="1">
      <c r="A75" s="176"/>
      <c r="B75" s="176"/>
      <c r="C75" s="176"/>
      <c r="D75" s="171"/>
      <c r="E75" s="171"/>
      <c r="F75" s="171"/>
      <c r="G75" s="175"/>
      <c r="H75" s="175"/>
      <c r="I75" s="175"/>
      <c r="J75" s="175"/>
      <c r="K75" s="175"/>
      <c r="L75" s="175"/>
      <c r="M75" s="175"/>
      <c r="N75" s="171"/>
      <c r="O75" s="171"/>
      <c r="P75" s="171"/>
      <c r="Q75" s="171"/>
      <c r="R75" s="171"/>
      <c r="S75" s="51"/>
      <c r="T75" s="171"/>
      <c r="U75" s="51"/>
      <c r="V75" s="51"/>
      <c r="Y75" s="51"/>
    </row>
    <row r="76" spans="1:25" s="15" customFormat="1" ht="21" customHeight="1">
      <c r="A76" s="176"/>
      <c r="B76" s="176"/>
      <c r="C76" s="176"/>
      <c r="D76" s="171"/>
      <c r="E76" s="171"/>
      <c r="F76" s="171"/>
      <c r="G76" s="175"/>
      <c r="H76" s="175"/>
      <c r="I76" s="175"/>
      <c r="J76" s="175"/>
      <c r="K76" s="175"/>
      <c r="L76" s="175"/>
      <c r="M76" s="175"/>
      <c r="N76" s="171"/>
      <c r="O76" s="171"/>
      <c r="P76" s="171"/>
      <c r="Q76" s="171"/>
      <c r="R76" s="171"/>
      <c r="S76" s="51"/>
      <c r="T76" s="171"/>
      <c r="U76" s="51"/>
      <c r="V76" s="51"/>
      <c r="Y76" s="51"/>
    </row>
    <row r="77" spans="1:25" ht="21" customHeight="1">
      <c r="A77" s="15"/>
      <c r="B77" s="15"/>
      <c r="C77" s="15"/>
      <c r="D77" s="171"/>
      <c r="E77" s="171"/>
      <c r="F77" s="171"/>
      <c r="G77" s="175"/>
      <c r="H77" s="175"/>
      <c r="I77" s="175"/>
      <c r="J77" s="175"/>
      <c r="K77" s="175"/>
      <c r="L77" s="175"/>
      <c r="M77" s="175"/>
      <c r="N77" s="171"/>
      <c r="O77" s="171"/>
      <c r="P77" s="171"/>
      <c r="Q77" s="171"/>
      <c r="R77" s="171"/>
      <c r="T77" s="171"/>
    </row>
    <row r="78" spans="1:25" ht="21" customHeight="1">
      <c r="A78" s="15"/>
      <c r="B78" s="15"/>
      <c r="C78" s="15"/>
      <c r="D78" s="171"/>
      <c r="E78" s="171"/>
      <c r="F78" s="171"/>
      <c r="G78" s="175"/>
      <c r="H78" s="175"/>
      <c r="I78" s="175"/>
      <c r="J78" s="175"/>
      <c r="K78" s="175"/>
      <c r="L78" s="175"/>
      <c r="M78" s="175"/>
      <c r="N78" s="171"/>
      <c r="O78" s="171"/>
      <c r="P78" s="171"/>
      <c r="Q78" s="171"/>
      <c r="R78" s="171"/>
      <c r="T78" s="171"/>
    </row>
    <row r="79" spans="1:25" ht="21" customHeight="1">
      <c r="A79" s="15"/>
      <c r="B79" s="15"/>
      <c r="C79" s="15"/>
      <c r="G79" s="175"/>
      <c r="H79" s="175"/>
      <c r="I79" s="175"/>
      <c r="J79" s="175"/>
      <c r="K79" s="175"/>
      <c r="L79" s="175"/>
      <c r="M79" s="175"/>
    </row>
    <row r="80" spans="1:25" ht="15.75" customHeight="1">
      <c r="A80" s="15"/>
      <c r="B80" s="15"/>
      <c r="C80" s="15"/>
      <c r="G80" s="175"/>
      <c r="H80" s="175"/>
      <c r="I80" s="175"/>
      <c r="J80" s="175"/>
      <c r="K80" s="175"/>
      <c r="L80" s="175"/>
      <c r="M80" s="175"/>
    </row>
    <row r="81" spans="1:13">
      <c r="A81" s="15"/>
      <c r="B81" s="15"/>
      <c r="C81" s="15"/>
      <c r="G81" s="175"/>
      <c r="H81" s="175"/>
      <c r="I81" s="175"/>
      <c r="J81" s="175"/>
      <c r="K81" s="175"/>
      <c r="L81" s="175"/>
      <c r="M81" s="175"/>
    </row>
    <row r="82" spans="1:13">
      <c r="A82" s="15"/>
      <c r="B82" s="15"/>
      <c r="C82" s="15"/>
      <c r="G82" s="175"/>
      <c r="H82" s="175"/>
      <c r="I82" s="175"/>
      <c r="J82" s="175"/>
      <c r="K82" s="175"/>
      <c r="L82" s="175"/>
      <c r="M82" s="175"/>
    </row>
    <row r="83" spans="1:13">
      <c r="A83" s="15"/>
      <c r="B83" s="15"/>
      <c r="C83" s="15"/>
      <c r="G83" s="175"/>
      <c r="H83" s="175"/>
      <c r="I83" s="175"/>
      <c r="J83" s="175"/>
      <c r="K83" s="175"/>
      <c r="L83" s="175"/>
      <c r="M83" s="175"/>
    </row>
    <row r="84" spans="1:13">
      <c r="A84" s="15"/>
      <c r="B84" s="15"/>
      <c r="C84" s="15"/>
      <c r="G84" s="175"/>
      <c r="H84" s="175"/>
      <c r="I84" s="175"/>
      <c r="J84" s="175"/>
      <c r="K84" s="175"/>
      <c r="L84" s="175"/>
      <c r="M84" s="175"/>
    </row>
    <row r="85" spans="1:13">
      <c r="A85" s="15"/>
      <c r="B85" s="15"/>
      <c r="C85" s="15"/>
      <c r="G85" s="175"/>
      <c r="H85" s="175"/>
      <c r="I85" s="175"/>
      <c r="J85" s="175"/>
      <c r="K85" s="175"/>
      <c r="L85" s="175"/>
      <c r="M85" s="175"/>
    </row>
    <row r="86" spans="1:13">
      <c r="A86" s="15"/>
      <c r="B86" s="15"/>
      <c r="C86" s="15"/>
      <c r="G86" s="175"/>
      <c r="H86" s="175"/>
      <c r="I86" s="175"/>
      <c r="J86" s="175"/>
      <c r="K86" s="175"/>
      <c r="L86" s="175"/>
      <c r="M86" s="175"/>
    </row>
    <row r="87" spans="1:13">
      <c r="G87" s="175"/>
      <c r="H87" s="175"/>
      <c r="I87" s="175"/>
      <c r="J87" s="175"/>
      <c r="K87" s="175"/>
      <c r="L87" s="175"/>
      <c r="M87" s="175"/>
    </row>
    <row r="88" spans="1:13">
      <c r="G88" s="175"/>
      <c r="H88" s="175"/>
      <c r="I88" s="175"/>
      <c r="J88" s="175"/>
      <c r="K88" s="175"/>
      <c r="L88" s="175"/>
      <c r="M88" s="175"/>
    </row>
    <row r="89" spans="1:13">
      <c r="G89" s="175"/>
      <c r="H89" s="175"/>
      <c r="I89" s="175"/>
      <c r="J89" s="175"/>
      <c r="K89" s="175"/>
      <c r="L89" s="175"/>
      <c r="M89" s="175"/>
    </row>
    <row r="90" spans="1:13">
      <c r="G90" s="175"/>
      <c r="H90" s="175"/>
      <c r="I90" s="175"/>
      <c r="J90" s="175"/>
      <c r="K90" s="175"/>
      <c r="L90" s="175"/>
      <c r="M90" s="175"/>
    </row>
  </sheetData>
  <mergeCells count="14">
    <mergeCell ref="U4:U5"/>
    <mergeCell ref="Y4:Y5"/>
    <mergeCell ref="A62:C62"/>
    <mergeCell ref="A69:B69"/>
    <mergeCell ref="W62:AC62"/>
    <mergeCell ref="B65:C65"/>
    <mergeCell ref="F66:L66"/>
    <mergeCell ref="D1:Q1"/>
    <mergeCell ref="A2:B2"/>
    <mergeCell ref="D2:Q2"/>
    <mergeCell ref="A3:C4"/>
    <mergeCell ref="D3:Q3"/>
    <mergeCell ref="D4:G4"/>
    <mergeCell ref="Q4:Q5"/>
  </mergeCells>
  <hyperlinks>
    <hyperlink ref="C60" r:id="rId1" display="https://5202729.app.netsuite.com/app/reporting/reportrunner.nl?fromreport=667&amp;regtx,tranline,kacct,x,alltranline5,IN,x,x=1166&amp;cr=293" xr:uid="{6A311288-FFF6-4F54-98C9-B95F46EAD6AE}"/>
  </hyperlinks>
  <printOptions horizontalCentered="1"/>
  <pageMargins left="0.25" right="0.25" top="0.75" bottom="0.25" header="0.25" footer="0.1"/>
  <pageSetup scale="33" orientation="landscape" horizontalDpi="300" verticalDpi="300" r:id="rId2"/>
  <headerFooter alignWithMargins="0">
    <oddFooter>&amp;R&amp;"Arial,Regular"&amp;10Date: &amp;D</oddFooter>
  </headerFooter>
  <rowBreaks count="1" manualBreakCount="1">
    <brk id="58" max="16" man="1"/>
  </rowBreaks>
  <colBreaks count="1" manualBreakCount="1">
    <brk id="9" max="1048575" man="1"/>
  </colBreak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AD0E9-F096-473C-BBCA-2C5F3B44FC83}">
  <sheetPr syncVertical="1" syncRef="D17" transitionEvaluation="1">
    <tabColor rgb="FFFF66FF"/>
    <pageSetUpPr fitToPage="1"/>
  </sheetPr>
  <dimension ref="A1:AA95"/>
  <sheetViews>
    <sheetView zoomScale="46" zoomScaleNormal="46" workbookViewId="0">
      <pane xSplit="3" ySplit="6" topLeftCell="D17" activePane="bottomRight" state="frozen"/>
      <selection activeCell="H57" sqref="H57"/>
      <selection pane="topRight" activeCell="H57" sqref="H57"/>
      <selection pane="bottomLeft" activeCell="H57" sqref="H57"/>
      <selection pane="bottomRight" activeCell="H57" sqref="H57"/>
    </sheetView>
  </sheetViews>
  <sheetFormatPr defaultColWidth="7.77734375" defaultRowHeight="26.25"/>
  <cols>
    <col min="1" max="1" width="39.88671875" style="22" customWidth="1"/>
    <col min="2" max="2" width="19" style="22" customWidth="1"/>
    <col min="3" max="3" width="14.21875" style="22" customWidth="1"/>
    <col min="4" max="15" width="18.21875" style="22" customWidth="1"/>
    <col min="16" max="16" width="3.33203125" style="15" customWidth="1"/>
    <col min="17" max="17" width="21.5546875" style="22" customWidth="1"/>
    <col min="18" max="18" width="3.33203125" style="22" customWidth="1"/>
    <col min="19" max="19" width="23" style="44" hidden="1" customWidth="1"/>
    <col min="20" max="20" width="3.33203125" style="22" customWidth="1"/>
    <col min="21" max="21" width="23.77734375" style="44" hidden="1" customWidth="1"/>
    <col min="22" max="22" width="2.77734375" style="44" customWidth="1"/>
    <col min="24" max="24" width="2.6640625" style="22" customWidth="1"/>
    <col min="25" max="25" width="23.77734375" style="44" hidden="1" customWidth="1"/>
    <col min="26" max="26" width="21.5546875" style="22" hidden="1" customWidth="1"/>
    <col min="27" max="27" width="14.88671875" style="22" hidden="1" customWidth="1"/>
    <col min="28" max="16384" width="7.77734375" style="22"/>
  </cols>
  <sheetData>
    <row r="1" spans="1:27" s="5" customFormat="1" ht="50.45" customHeight="1">
      <c r="D1" s="755" t="s">
        <v>113</v>
      </c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R1" s="3"/>
      <c r="S1" s="4"/>
      <c r="T1" s="3"/>
      <c r="U1" s="3"/>
      <c r="V1" s="4"/>
      <c r="Y1" s="3"/>
    </row>
    <row r="2" spans="1:27" s="5" customFormat="1" ht="45" customHeight="1">
      <c r="A2" s="756" t="s">
        <v>323</v>
      </c>
      <c r="B2" s="756"/>
      <c r="C2" s="580">
        <f>'[2]2021 Benefits Wk '!$L$1</f>
        <v>2022</v>
      </c>
      <c r="D2" s="745" t="s">
        <v>152</v>
      </c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746"/>
      <c r="R2" s="3"/>
      <c r="S2" s="4"/>
      <c r="T2" s="3"/>
      <c r="U2" s="3"/>
      <c r="V2" s="4"/>
      <c r="Y2" s="3"/>
    </row>
    <row r="3" spans="1:27" s="5" customFormat="1" ht="46.9" customHeight="1" thickBot="1">
      <c r="A3" s="757" t="s">
        <v>320</v>
      </c>
      <c r="B3" s="757"/>
      <c r="C3" s="758"/>
      <c r="D3" s="745" t="s">
        <v>326</v>
      </c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746"/>
      <c r="Q3" s="746"/>
      <c r="R3" s="8"/>
      <c r="S3" s="220"/>
      <c r="T3" s="8"/>
      <c r="V3" s="220"/>
      <c r="X3" s="220"/>
    </row>
    <row r="4" spans="1:27" s="5" customFormat="1" ht="54.6" customHeight="1">
      <c r="A4" s="759"/>
      <c r="B4" s="759"/>
      <c r="C4" s="760"/>
      <c r="D4" s="761" t="s">
        <v>324</v>
      </c>
      <c r="E4" s="762"/>
      <c r="F4" s="762"/>
      <c r="G4" s="763"/>
      <c r="H4" s="593" t="s">
        <v>7</v>
      </c>
      <c r="I4" s="593" t="s">
        <v>7</v>
      </c>
      <c r="J4" s="593" t="s">
        <v>7</v>
      </c>
      <c r="K4" s="593" t="s">
        <v>7</v>
      </c>
      <c r="L4" s="593" t="s">
        <v>7</v>
      </c>
      <c r="M4" s="593" t="s">
        <v>7</v>
      </c>
      <c r="N4" s="593" t="s">
        <v>7</v>
      </c>
      <c r="O4" s="593" t="s">
        <v>7</v>
      </c>
      <c r="P4" s="11"/>
      <c r="Q4" s="764" t="s">
        <v>315</v>
      </c>
      <c r="R4" s="8"/>
      <c r="S4" s="220"/>
      <c r="T4" s="8"/>
      <c r="U4" s="747" t="s">
        <v>314</v>
      </c>
      <c r="V4" s="220"/>
      <c r="X4" s="220"/>
      <c r="Y4" s="766" t="s">
        <v>316</v>
      </c>
    </row>
    <row r="5" spans="1:27" ht="55.15" customHeight="1" thickBot="1">
      <c r="A5" s="303" t="s">
        <v>322</v>
      </c>
      <c r="B5" s="279" t="s">
        <v>321</v>
      </c>
      <c r="C5" s="280" t="s">
        <v>11</v>
      </c>
      <c r="D5" s="581" t="s">
        <v>325</v>
      </c>
      <c r="E5" s="581" t="s">
        <v>325</v>
      </c>
      <c r="F5" s="581" t="s">
        <v>325</v>
      </c>
      <c r="G5" s="581" t="s">
        <v>325</v>
      </c>
      <c r="H5" s="594" t="s">
        <v>306</v>
      </c>
      <c r="I5" s="594" t="s">
        <v>306</v>
      </c>
      <c r="J5" s="594" t="s">
        <v>306</v>
      </c>
      <c r="K5" s="594" t="s">
        <v>306</v>
      </c>
      <c r="L5" s="594" t="s">
        <v>306</v>
      </c>
      <c r="M5" s="594" t="s">
        <v>306</v>
      </c>
      <c r="N5" s="594" t="s">
        <v>306</v>
      </c>
      <c r="O5" s="594" t="s">
        <v>306</v>
      </c>
      <c r="P5" s="237"/>
      <c r="Q5" s="765"/>
      <c r="R5" s="225"/>
      <c r="S5" s="225"/>
      <c r="T5" s="225"/>
      <c r="U5" s="748"/>
      <c r="V5" s="225"/>
      <c r="X5" s="225"/>
      <c r="Y5" s="767"/>
    </row>
    <row r="6" spans="1:27" s="5" customFormat="1" ht="53.25" thickBot="1">
      <c r="A6" s="34" t="s">
        <v>15</v>
      </c>
      <c r="B6" s="34"/>
      <c r="C6" s="34"/>
      <c r="D6" s="586" t="s">
        <v>82</v>
      </c>
      <c r="E6" s="586" t="s">
        <v>83</v>
      </c>
      <c r="F6" s="586" t="s">
        <v>84</v>
      </c>
      <c r="G6" s="586" t="s">
        <v>85</v>
      </c>
      <c r="H6" s="582" t="s">
        <v>20</v>
      </c>
      <c r="I6" s="582" t="s">
        <v>21</v>
      </c>
      <c r="J6" s="582" t="s">
        <v>22</v>
      </c>
      <c r="K6" s="582" t="s">
        <v>23</v>
      </c>
      <c r="L6" s="582" t="s">
        <v>24</v>
      </c>
      <c r="M6" s="582" t="s">
        <v>25</v>
      </c>
      <c r="N6" s="582" t="s">
        <v>26</v>
      </c>
      <c r="O6" s="582" t="s">
        <v>27</v>
      </c>
      <c r="P6" s="11"/>
      <c r="Q6" s="238" t="s">
        <v>148</v>
      </c>
      <c r="R6" s="239"/>
      <c r="S6" s="504" t="s">
        <v>30</v>
      </c>
      <c r="T6" s="239"/>
      <c r="U6" s="499" t="s">
        <v>303</v>
      </c>
      <c r="V6" s="41"/>
      <c r="Y6" s="499" t="s">
        <v>303</v>
      </c>
    </row>
    <row r="7" spans="1:27" s="44" customFormat="1" ht="34.5" customHeight="1">
      <c r="A7" s="453" t="s">
        <v>170</v>
      </c>
      <c r="B7" s="241"/>
      <c r="C7" s="240"/>
      <c r="D7" s="587">
        <v>0</v>
      </c>
      <c r="E7" s="587">
        <v>533</v>
      </c>
      <c r="F7" s="587">
        <v>5073</v>
      </c>
      <c r="G7" s="587">
        <v>6319.5</v>
      </c>
      <c r="H7" s="583">
        <v>7500</v>
      </c>
      <c r="I7" s="584">
        <v>24905</v>
      </c>
      <c r="J7" s="584">
        <v>36900</v>
      </c>
      <c r="K7" s="584">
        <v>16475</v>
      </c>
      <c r="L7" s="584">
        <v>20800</v>
      </c>
      <c r="M7" s="584">
        <v>18070</v>
      </c>
      <c r="N7" s="584">
        <v>6385</v>
      </c>
      <c r="O7" s="585">
        <v>0</v>
      </c>
      <c r="P7" s="229"/>
      <c r="Q7" s="230">
        <f t="shared" ref="Q7:Q11" si="0">SUM(D7:O7)</f>
        <v>142960.5</v>
      </c>
      <c r="R7" s="243" t="s">
        <v>11</v>
      </c>
      <c r="S7" s="503">
        <f>+Q7-U7</f>
        <v>-19739.5</v>
      </c>
      <c r="T7" s="243" t="s">
        <v>11</v>
      </c>
      <c r="U7" s="230">
        <v>162700</v>
      </c>
      <c r="V7" s="51"/>
      <c r="Y7" s="230">
        <f>'2021 TOC Monthly R&amp;E @ 12-31'!N13</f>
        <v>53426.52</v>
      </c>
    </row>
    <row r="8" spans="1:27" s="44" customFormat="1" ht="35.1" customHeight="1">
      <c r="A8" s="453" t="s">
        <v>171</v>
      </c>
      <c r="B8" s="241"/>
      <c r="C8" s="240"/>
      <c r="D8" s="587">
        <v>0</v>
      </c>
      <c r="E8" s="587">
        <v>1295.2</v>
      </c>
      <c r="F8" s="587">
        <v>8613.2000000000007</v>
      </c>
      <c r="G8" s="587">
        <v>11806</v>
      </c>
      <c r="H8" s="573">
        <v>12655</v>
      </c>
      <c r="I8" s="509">
        <v>29940</v>
      </c>
      <c r="J8" s="509">
        <v>39850</v>
      </c>
      <c r="K8" s="509">
        <v>22720</v>
      </c>
      <c r="L8" s="509">
        <v>40960</v>
      </c>
      <c r="M8" s="509">
        <v>33310</v>
      </c>
      <c r="N8" s="509">
        <v>12430</v>
      </c>
      <c r="O8" s="510">
        <v>0</v>
      </c>
      <c r="P8" s="229"/>
      <c r="Q8" s="230">
        <f t="shared" si="0"/>
        <v>213579.4</v>
      </c>
      <c r="R8" s="243" t="s">
        <v>11</v>
      </c>
      <c r="S8" s="502">
        <f>+Q8-U8</f>
        <v>-320.60000000000582</v>
      </c>
      <c r="T8" s="243" t="s">
        <v>11</v>
      </c>
      <c r="U8" s="230">
        <v>213900</v>
      </c>
      <c r="V8" s="51"/>
      <c r="Y8" s="230">
        <f>'2021 TOC Monthly R&amp;E @ 12-31'!N14</f>
        <v>108451.87</v>
      </c>
    </row>
    <row r="9" spans="1:27" s="44" customFormat="1" ht="35.1" customHeight="1">
      <c r="A9" s="453" t="s">
        <v>336</v>
      </c>
      <c r="B9" s="241"/>
      <c r="C9" s="240"/>
      <c r="D9" s="587"/>
      <c r="E9" s="587"/>
      <c r="F9" s="587"/>
      <c r="G9" s="587"/>
      <c r="H9" s="573">
        <v>14700</v>
      </c>
      <c r="I9" s="509"/>
      <c r="J9" s="509"/>
      <c r="K9" s="509"/>
      <c r="L9" s="509"/>
      <c r="M9" s="509"/>
      <c r="N9" s="509"/>
      <c r="O9" s="510"/>
      <c r="P9" s="229"/>
      <c r="Q9" s="230">
        <f t="shared" si="0"/>
        <v>14700</v>
      </c>
      <c r="R9" s="243"/>
      <c r="S9" s="502"/>
      <c r="T9" s="243"/>
      <c r="U9" s="230"/>
      <c r="V9" s="51"/>
      <c r="Y9" s="230"/>
    </row>
    <row r="10" spans="1:27" s="44" customFormat="1" ht="34.5" customHeight="1">
      <c r="A10" s="466" t="s">
        <v>172</v>
      </c>
      <c r="B10" s="241"/>
      <c r="C10" s="240"/>
      <c r="D10" s="588">
        <v>0</v>
      </c>
      <c r="E10" s="588">
        <v>0</v>
      </c>
      <c r="F10" s="588">
        <v>0</v>
      </c>
      <c r="G10" s="588">
        <v>0</v>
      </c>
      <c r="H10" s="509">
        <v>200</v>
      </c>
      <c r="I10" s="509">
        <v>2200</v>
      </c>
      <c r="J10" s="509">
        <v>1400</v>
      </c>
      <c r="K10" s="510">
        <v>0</v>
      </c>
      <c r="L10" s="510">
        <v>0</v>
      </c>
      <c r="M10" s="510">
        <v>0</v>
      </c>
      <c r="N10" s="510">
        <v>0</v>
      </c>
      <c r="O10" s="510">
        <v>0</v>
      </c>
      <c r="P10" s="229"/>
      <c r="Q10" s="230">
        <f t="shared" si="0"/>
        <v>3800</v>
      </c>
      <c r="R10" s="243" t="s">
        <v>11</v>
      </c>
      <c r="S10" s="502">
        <f>+Q10-U10</f>
        <v>-8900</v>
      </c>
      <c r="T10" s="243" t="s">
        <v>11</v>
      </c>
      <c r="U10" s="230">
        <v>12700</v>
      </c>
      <c r="V10" s="51"/>
      <c r="Y10" s="230">
        <f>SUM('2021 TOC Monthly R&amp;E @ 12-31'!N16,'2021 TOC Monthly R&amp;E @ 12-31'!N21)+'2021 TOC Monthly R&amp;E @ 12-31'!N15</f>
        <v>79389.17</v>
      </c>
      <c r="Z10" s="453" t="s">
        <v>318</v>
      </c>
    </row>
    <row r="11" spans="1:27" s="44" customFormat="1" ht="35.1" customHeight="1">
      <c r="A11" s="466" t="s">
        <v>317</v>
      </c>
      <c r="B11" s="466"/>
      <c r="C11" s="240"/>
      <c r="D11" s="588">
        <v>0</v>
      </c>
      <c r="E11" s="587">
        <v>-91.41</v>
      </c>
      <c r="F11" s="587">
        <v>-392.56</v>
      </c>
      <c r="G11" s="588">
        <v>0</v>
      </c>
      <c r="H11" s="510">
        <f>'[1]Input Wrksht '!J10</f>
        <v>0</v>
      </c>
      <c r="I11" s="510">
        <f>'[1]Input Wrksht '!K10</f>
        <v>0</v>
      </c>
      <c r="J11" s="510">
        <f>'[1]Input Wrksht '!L10</f>
        <v>0</v>
      </c>
      <c r="K11" s="510">
        <v>0</v>
      </c>
      <c r="L11" s="510">
        <v>0</v>
      </c>
      <c r="M11" s="510">
        <v>0</v>
      </c>
      <c r="N11" s="510">
        <v>0</v>
      </c>
      <c r="O11" s="510">
        <v>0</v>
      </c>
      <c r="P11" s="229"/>
      <c r="Q11" s="230">
        <f t="shared" si="0"/>
        <v>-483.97</v>
      </c>
      <c r="R11" s="243" t="s">
        <v>11</v>
      </c>
      <c r="S11" s="502">
        <f>+Q11-U11</f>
        <v>-483.97</v>
      </c>
      <c r="T11" s="243" t="s">
        <v>11</v>
      </c>
      <c r="U11" s="230">
        <v>0</v>
      </c>
      <c r="V11" s="51"/>
      <c r="Y11" s="230">
        <f>'2021 TOC Monthly R&amp;E @ 12-31'!N22</f>
        <v>-3691.92</v>
      </c>
    </row>
    <row r="12" spans="1:27" s="44" customFormat="1" ht="35.1" customHeight="1">
      <c r="A12" s="22"/>
      <c r="B12" s="56"/>
      <c r="C12" s="56"/>
      <c r="D12" s="321"/>
      <c r="E12" s="321"/>
      <c r="F12" s="321"/>
      <c r="G12" s="321"/>
      <c r="H12" s="56"/>
      <c r="I12" s="56"/>
      <c r="J12" s="56"/>
      <c r="K12" s="56"/>
      <c r="L12" s="56"/>
      <c r="M12" s="56"/>
      <c r="N12" s="56"/>
      <c r="O12" s="56"/>
      <c r="P12" s="56"/>
      <c r="R12" s="243" t="s">
        <v>11</v>
      </c>
      <c r="S12" s="56" t="s">
        <v>11</v>
      </c>
      <c r="T12" s="243" t="s">
        <v>11</v>
      </c>
      <c r="V12" s="51"/>
      <c r="X12" s="56" t="s">
        <v>11</v>
      </c>
    </row>
    <row r="13" spans="1:27" ht="25.5" customHeight="1" thickBot="1">
      <c r="A13" s="4"/>
      <c r="B13" s="62" t="s">
        <v>37</v>
      </c>
      <c r="C13" s="62"/>
      <c r="D13" s="569">
        <f t="shared" ref="D13:N13" si="1">SUM(D7:D12)</f>
        <v>0</v>
      </c>
      <c r="E13" s="569">
        <f t="shared" si="1"/>
        <v>1736.79</v>
      </c>
      <c r="F13" s="569">
        <f t="shared" si="1"/>
        <v>13293.640000000001</v>
      </c>
      <c r="G13" s="569">
        <f t="shared" si="1"/>
        <v>18125.5</v>
      </c>
      <c r="H13" s="245">
        <f>SUM(H7:H12)</f>
        <v>35055</v>
      </c>
      <c r="I13" s="507">
        <f t="shared" si="1"/>
        <v>57045</v>
      </c>
      <c r="J13" s="507">
        <f t="shared" si="1"/>
        <v>78150</v>
      </c>
      <c r="K13" s="245">
        <f t="shared" si="1"/>
        <v>39195</v>
      </c>
      <c r="L13" s="245">
        <f t="shared" si="1"/>
        <v>61760</v>
      </c>
      <c r="M13" s="245">
        <f t="shared" si="1"/>
        <v>51380</v>
      </c>
      <c r="N13" s="245">
        <f t="shared" si="1"/>
        <v>18815</v>
      </c>
      <c r="O13" s="246">
        <f>SUM(O7:O11)</f>
        <v>0</v>
      </c>
      <c r="P13" s="229"/>
      <c r="Q13" s="231">
        <f>SUM(Q7:Q11)</f>
        <v>374555.93000000005</v>
      </c>
      <c r="R13" s="243" t="s">
        <v>11</v>
      </c>
      <c r="S13" s="505">
        <f>ROUND((SUM(S7:S12)),-1)</f>
        <v>-29440</v>
      </c>
      <c r="T13" s="243" t="s">
        <v>11</v>
      </c>
      <c r="U13" s="283">
        <f>ROUND((SUM(U7:U12)),-1)</f>
        <v>389300</v>
      </c>
      <c r="V13" s="51"/>
      <c r="X13" s="4"/>
      <c r="Y13" s="283">
        <f>ROUND((SUM(Y7:Y12)),-1)</f>
        <v>237580</v>
      </c>
      <c r="AA13" s="613">
        <f>Q13-U13</f>
        <v>-14744.069999999949</v>
      </c>
    </row>
    <row r="14" spans="1:27" s="4" customFormat="1" ht="19.149999999999999" customHeight="1" thickTop="1">
      <c r="A14" s="434"/>
      <c r="B14" s="434"/>
      <c r="C14" s="434"/>
      <c r="D14" s="434"/>
      <c r="E14" s="434"/>
      <c r="F14" s="434"/>
      <c r="G14" s="434"/>
      <c r="H14" s="434"/>
      <c r="I14" s="435"/>
      <c r="J14" s="434"/>
      <c r="K14" s="434"/>
      <c r="L14" s="434"/>
      <c r="M14" s="434"/>
      <c r="N14" s="434"/>
      <c r="O14" s="434"/>
      <c r="P14" s="436"/>
      <c r="Q14" s="437"/>
      <c r="R14" s="243" t="s">
        <v>11</v>
      </c>
      <c r="S14" s="243" t="s">
        <v>11</v>
      </c>
      <c r="T14" s="243" t="s">
        <v>11</v>
      </c>
      <c r="U14" s="243" t="s">
        <v>11</v>
      </c>
      <c r="V14" s="243" t="s">
        <v>11</v>
      </c>
      <c r="X14" s="243" t="s">
        <v>11</v>
      </c>
      <c r="Y14" s="243" t="s">
        <v>11</v>
      </c>
    </row>
    <row r="15" spans="1:27" ht="30" customHeight="1">
      <c r="A15" s="596" t="s">
        <v>327</v>
      </c>
      <c r="B15" s="461"/>
      <c r="C15" s="233"/>
      <c r="D15" s="571">
        <v>0</v>
      </c>
      <c r="E15" s="571">
        <v>40</v>
      </c>
      <c r="F15" s="571">
        <v>125</v>
      </c>
      <c r="G15" s="571">
        <v>150</v>
      </c>
      <c r="H15" s="512">
        <v>350</v>
      </c>
      <c r="I15" s="512">
        <v>1000</v>
      </c>
      <c r="J15" s="512">
        <v>1200</v>
      </c>
      <c r="K15" s="512">
        <v>825</v>
      </c>
      <c r="L15" s="512">
        <v>750</v>
      </c>
      <c r="M15" s="512">
        <v>800</v>
      </c>
      <c r="N15" s="512">
        <v>350</v>
      </c>
      <c r="O15" s="604">
        <v>50</v>
      </c>
      <c r="P15" s="11"/>
      <c r="Q15" s="511">
        <f>SUM(D15:O15)</f>
        <v>5640</v>
      </c>
      <c r="R15" s="243" t="s">
        <v>11</v>
      </c>
      <c r="S15" s="22"/>
      <c r="T15" s="243" t="s">
        <v>11</v>
      </c>
      <c r="U15" s="603">
        <v>5640</v>
      </c>
      <c r="V15" s="85"/>
      <c r="Y15" s="284" t="s">
        <v>11</v>
      </c>
    </row>
    <row r="16" spans="1:27" ht="48.6" customHeight="1">
      <c r="A16" s="252"/>
      <c r="B16" s="281"/>
      <c r="C16" s="282"/>
      <c r="D16" s="282"/>
      <c r="E16" s="282"/>
      <c r="F16" s="282"/>
      <c r="G16" s="282"/>
      <c r="H16" s="282"/>
      <c r="I16" s="290"/>
      <c r="J16" s="291"/>
      <c r="K16" s="290"/>
      <c r="L16" s="290"/>
      <c r="M16" s="290"/>
      <c r="N16" s="290"/>
      <c r="O16" s="290"/>
      <c r="P16" s="11"/>
      <c r="S16" s="22"/>
      <c r="U16" s="22"/>
      <c r="V16" s="22"/>
      <c r="Y16" s="22"/>
    </row>
    <row r="17" spans="1:27" s="105" customFormat="1" ht="54.6" customHeight="1">
      <c r="A17" s="261" t="s">
        <v>42</v>
      </c>
      <c r="B17" s="119"/>
      <c r="C17" s="119"/>
      <c r="D17" s="119"/>
      <c r="E17" s="119"/>
      <c r="F17" s="119"/>
      <c r="G17" s="119"/>
      <c r="H17" s="119"/>
      <c r="I17" s="121"/>
      <c r="J17" s="121"/>
      <c r="K17" s="121"/>
      <c r="L17" s="121"/>
      <c r="M17" s="121"/>
      <c r="N17" s="121"/>
      <c r="P17" s="11"/>
      <c r="Q17" s="238" t="s">
        <v>147</v>
      </c>
      <c r="R17" s="243" t="s">
        <v>11</v>
      </c>
      <c r="S17" s="42" t="s">
        <v>30</v>
      </c>
      <c r="T17" s="243" t="s">
        <v>11</v>
      </c>
      <c r="U17" s="602" t="s">
        <v>44</v>
      </c>
      <c r="V17" s="108"/>
      <c r="X17" s="5"/>
      <c r="Y17" s="40" t="s">
        <v>44</v>
      </c>
      <c r="AA17"/>
    </row>
    <row r="18" spans="1:27" s="127" customFormat="1" ht="27" hidden="1" customHeight="1">
      <c r="A18" s="124"/>
      <c r="B18" s="124"/>
      <c r="C18" s="124"/>
      <c r="D18" s="366" t="str">
        <f t="shared" ref="D18:O18" si="2">IF((+D$7+D$8)=0," ",(+D19+D20)/(+D$7+D$8))</f>
        <v xml:space="preserve"> </v>
      </c>
      <c r="E18" s="366">
        <f t="shared" si="2"/>
        <v>4.463514318031665</v>
      </c>
      <c r="F18" s="366">
        <f t="shared" si="2"/>
        <v>0.62505764269729247</v>
      </c>
      <c r="G18" s="366">
        <f t="shared" si="2"/>
        <v>0.37765563985650813</v>
      </c>
      <c r="H18" s="574">
        <f t="shared" si="2"/>
        <v>0.33144306772215926</v>
      </c>
      <c r="I18" s="141">
        <f t="shared" si="2"/>
        <v>0.22509317007785962</v>
      </c>
      <c r="J18" s="141">
        <f t="shared" si="2"/>
        <v>0.2395470390374535</v>
      </c>
      <c r="K18" s="141">
        <f t="shared" si="2"/>
        <v>0.21559473154633446</v>
      </c>
      <c r="L18" s="141">
        <f t="shared" si="2"/>
        <v>0.1721216836697391</v>
      </c>
      <c r="M18" s="141">
        <f t="shared" si="2"/>
        <v>0.18509603912048492</v>
      </c>
      <c r="N18" s="141">
        <f t="shared" si="2"/>
        <v>0.27107282987603759</v>
      </c>
      <c r="O18" s="141" t="str">
        <f t="shared" si="2"/>
        <v xml:space="preserve"> </v>
      </c>
      <c r="P18" s="11"/>
      <c r="Q18" s="141">
        <f>IF((+Q$7+Q$8)=0," ",(+Q19+Q20)/(+Q$7+Q$8))</f>
        <v>0.30790299446440161</v>
      </c>
      <c r="R18" s="243" t="s">
        <v>11</v>
      </c>
      <c r="S18" s="134"/>
      <c r="T18" s="243" t="s">
        <v>11</v>
      </c>
      <c r="U18" s="556">
        <f>IF((+U$7+U$8)=0," ",(+U19+U20)/(+U$7+U$8))</f>
        <v>0.2602767930352905</v>
      </c>
      <c r="V18" s="124"/>
      <c r="X18" s="143"/>
      <c r="Y18" s="556">
        <f>IF((+Y$7+Y$8)=0," ",(+Y19+Y20)/(+Y$7+Y$8))</f>
        <v>0.5966283840567701</v>
      </c>
      <c r="AA18"/>
    </row>
    <row r="19" spans="1:27" s="4" customFormat="1" ht="35.1" hidden="1" customHeight="1">
      <c r="A19" s="453" t="s">
        <v>155</v>
      </c>
      <c r="B19" s="45"/>
      <c r="C19" s="45"/>
      <c r="D19" s="589">
        <v>8400</v>
      </c>
      <c r="E19" s="589">
        <v>8160</v>
      </c>
      <c r="F19" s="589">
        <v>8554.48</v>
      </c>
      <c r="G19" s="589">
        <v>6845</v>
      </c>
      <c r="H19" s="568">
        <v>6680</v>
      </c>
      <c r="I19" s="568">
        <v>12345</v>
      </c>
      <c r="J19" s="568">
        <v>18385</v>
      </c>
      <c r="K19" s="568">
        <f>8447+3</f>
        <v>8450</v>
      </c>
      <c r="L19" s="568">
        <v>10630</v>
      </c>
      <c r="M19" s="568">
        <f>9512-2</f>
        <v>9510</v>
      </c>
      <c r="N19" s="568">
        <v>5100</v>
      </c>
      <c r="O19" s="568">
        <v>6720</v>
      </c>
      <c r="P19" s="11"/>
      <c r="Q19" s="139">
        <f>SUM(D19:O19)</f>
        <v>109779.48</v>
      </c>
      <c r="R19" s="243" t="s">
        <v>11</v>
      </c>
      <c r="S19" s="85">
        <f>+Q19-U19</f>
        <v>11759.479999999996</v>
      </c>
      <c r="T19" s="243" t="s">
        <v>11</v>
      </c>
      <c r="U19" s="557">
        <v>98020</v>
      </c>
      <c r="V19" s="85"/>
      <c r="X19" s="143"/>
      <c r="Y19" s="557">
        <f>'2021 TOC Monthly R&amp;E @ 12-31'!N30</f>
        <v>96580.95</v>
      </c>
      <c r="AA19"/>
    </row>
    <row r="20" spans="1:27" s="127" customFormat="1" ht="27" hidden="1" customHeight="1">
      <c r="A20" s="464"/>
      <c r="B20" s="124"/>
      <c r="C20" s="124"/>
      <c r="D20" s="590">
        <f t="shared" ref="D20:O20" si="3">IF(+D$19=0," ",D21/+D$19)</f>
        <v>0.19520714285714286</v>
      </c>
      <c r="E20" s="590">
        <f t="shared" si="3"/>
        <v>0.19687622549019607</v>
      </c>
      <c r="F20" s="590">
        <f t="shared" si="3"/>
        <v>0.18390948368574128</v>
      </c>
      <c r="G20" s="590">
        <f t="shared" si="3"/>
        <v>0.19730021913805698</v>
      </c>
      <c r="H20" s="574">
        <f t="shared" si="3"/>
        <v>0.23502994011976047</v>
      </c>
      <c r="I20" s="141">
        <f t="shared" si="3"/>
        <v>0.23491292021061158</v>
      </c>
      <c r="J20" s="141">
        <f t="shared" si="3"/>
        <v>0.23524612455806365</v>
      </c>
      <c r="K20" s="141">
        <f t="shared" si="3"/>
        <v>0.23550295857988165</v>
      </c>
      <c r="L20" s="141">
        <f t="shared" si="3"/>
        <v>0.23518344308560676</v>
      </c>
      <c r="M20" s="141">
        <f t="shared" si="3"/>
        <v>0.23449001051524712</v>
      </c>
      <c r="N20" s="141">
        <f t="shared" si="3"/>
        <v>0.23529411764705882</v>
      </c>
      <c r="O20" s="141">
        <f t="shared" si="3"/>
        <v>0.23511904761904762</v>
      </c>
      <c r="P20" s="11"/>
      <c r="Q20" s="141">
        <f t="shared" ref="Q20:U20" si="4">IF(+Q$19=0," ",Q21/+Q$19)</f>
        <v>0.22285603830515505</v>
      </c>
      <c r="R20" s="243" t="s">
        <v>11</v>
      </c>
      <c r="S20" s="134"/>
      <c r="T20" s="243" t="s">
        <v>11</v>
      </c>
      <c r="U20" s="556">
        <f t="shared" si="4"/>
        <v>0.24025709038971638</v>
      </c>
      <c r="V20" s="124"/>
      <c r="X20" s="143"/>
      <c r="Y20" s="556">
        <f t="shared" ref="Y20" si="5">IF(+Y$19=0," ",Y21/+Y$19)</f>
        <v>0.29223941160239159</v>
      </c>
    </row>
    <row r="21" spans="1:27" s="44" customFormat="1" ht="34.5" hidden="1" customHeight="1">
      <c r="A21" s="453" t="s">
        <v>167</v>
      </c>
      <c r="B21" s="45"/>
      <c r="C21" s="45"/>
      <c r="D21" s="589">
        <v>1639.74</v>
      </c>
      <c r="E21" s="589">
        <v>1606.51</v>
      </c>
      <c r="F21" s="589">
        <v>1573.25</v>
      </c>
      <c r="G21" s="589">
        <v>1350.52</v>
      </c>
      <c r="H21" s="568">
        <f t="shared" ref="H21:O21" si="6">ROUND((H19*23.5%),-1)</f>
        <v>1570</v>
      </c>
      <c r="I21" s="145">
        <f t="shared" si="6"/>
        <v>2900</v>
      </c>
      <c r="J21" s="145">
        <f>ROUND((J19*23.5%),-1)+5</f>
        <v>4325</v>
      </c>
      <c r="K21" s="145">
        <f t="shared" si="6"/>
        <v>1990</v>
      </c>
      <c r="L21" s="145">
        <f t="shared" si="6"/>
        <v>2500</v>
      </c>
      <c r="M21" s="145">
        <f t="shared" si="6"/>
        <v>2230</v>
      </c>
      <c r="N21" s="145">
        <f t="shared" si="6"/>
        <v>1200</v>
      </c>
      <c r="O21" s="145">
        <f t="shared" si="6"/>
        <v>1580</v>
      </c>
      <c r="P21" s="11"/>
      <c r="Q21" s="139">
        <f t="shared" ref="Q21:Q52" si="7">SUM(D21:O21)</f>
        <v>24465.02</v>
      </c>
      <c r="R21" s="243" t="s">
        <v>11</v>
      </c>
      <c r="S21" s="85">
        <f>+Q21-U21</f>
        <v>915.02000000000044</v>
      </c>
      <c r="T21" s="243" t="s">
        <v>11</v>
      </c>
      <c r="U21" s="557">
        <v>23550</v>
      </c>
      <c r="V21" s="51"/>
      <c r="X21" s="143"/>
      <c r="Y21" s="557">
        <f>'2021 TOC Monthly R&amp;E @ 12-31'!N40</f>
        <v>28224.760000000002</v>
      </c>
    </row>
    <row r="22" spans="1:27" s="127" customFormat="1" ht="27" hidden="1" customHeight="1">
      <c r="A22" s="464"/>
      <c r="B22" s="124"/>
      <c r="C22" s="124"/>
      <c r="D22" s="590" t="str">
        <f t="shared" ref="D22:O22" si="8">IF((+D$7+D$8)=0," ",D23/(+D$7+D$8))</f>
        <v xml:space="preserve"> </v>
      </c>
      <c r="E22" s="590">
        <f t="shared" si="8"/>
        <v>0</v>
      </c>
      <c r="F22" s="590">
        <f t="shared" si="8"/>
        <v>8.3295582411480173E-3</v>
      </c>
      <c r="G22" s="590">
        <f t="shared" si="8"/>
        <v>4.9377948194532567E-3</v>
      </c>
      <c r="H22" s="574">
        <f t="shared" si="8"/>
        <v>1.4884644008930786E-2</v>
      </c>
      <c r="I22" s="141">
        <f t="shared" si="8"/>
        <v>0</v>
      </c>
      <c r="J22" s="141">
        <f t="shared" si="8"/>
        <v>0</v>
      </c>
      <c r="K22" s="141">
        <f t="shared" si="8"/>
        <v>0</v>
      </c>
      <c r="L22" s="141">
        <f t="shared" si="8"/>
        <v>0</v>
      </c>
      <c r="M22" s="141">
        <f t="shared" si="8"/>
        <v>0</v>
      </c>
      <c r="N22" s="141">
        <f t="shared" si="8"/>
        <v>0</v>
      </c>
      <c r="O22" s="141" t="str">
        <f t="shared" si="8"/>
        <v xml:space="preserve"> </v>
      </c>
      <c r="P22" s="11"/>
      <c r="Q22" s="141">
        <f>IF((+Q$7+Q$8)=0," ",(+Q23+Q28)/(+Q$7+Q$8))</f>
        <v>2.2543181426729771E-3</v>
      </c>
      <c r="R22" s="243" t="s">
        <v>11</v>
      </c>
      <c r="S22" s="134"/>
      <c r="T22" s="243" t="s">
        <v>11</v>
      </c>
      <c r="U22" s="558">
        <v>2.9215082641863067E-3</v>
      </c>
      <c r="V22" s="124"/>
      <c r="X22" s="143"/>
      <c r="Y22" s="558">
        <v>2.9215082641863067E-3</v>
      </c>
    </row>
    <row r="23" spans="1:27" s="44" customFormat="1" ht="34.9" hidden="1" customHeight="1">
      <c r="A23" s="453" t="s">
        <v>168</v>
      </c>
      <c r="B23" s="45"/>
      <c r="C23" s="45"/>
      <c r="D23" s="589">
        <v>0</v>
      </c>
      <c r="E23" s="589">
        <v>0</v>
      </c>
      <c r="F23" s="589">
        <v>114</v>
      </c>
      <c r="G23" s="589">
        <v>89.5</v>
      </c>
      <c r="H23" s="568">
        <v>300</v>
      </c>
      <c r="I23" s="145">
        <v>0</v>
      </c>
      <c r="J23" s="145">
        <v>0</v>
      </c>
      <c r="K23" s="145">
        <v>0</v>
      </c>
      <c r="L23" s="145">
        <v>0</v>
      </c>
      <c r="M23" s="145">
        <v>0</v>
      </c>
      <c r="N23" s="145">
        <v>0</v>
      </c>
      <c r="O23" s="145">
        <v>300</v>
      </c>
      <c r="P23" s="11"/>
      <c r="Q23" s="139">
        <f t="shared" si="7"/>
        <v>803.5</v>
      </c>
      <c r="R23" s="243" t="s">
        <v>11</v>
      </c>
      <c r="S23" s="85">
        <f>+Q23-U23</f>
        <v>-296.5</v>
      </c>
      <c r="T23" s="243" t="s">
        <v>11</v>
      </c>
      <c r="U23" s="557">
        <v>1100</v>
      </c>
      <c r="V23" s="51"/>
      <c r="X23" s="143"/>
      <c r="Y23" s="557">
        <f>'2021 TOC Monthly R&amp;E @ 12-31'!N41+'2021 TOC Monthly R&amp;E @ 12-31'!N45+'2021 TOC Monthly R&amp;E @ 12-31'!N46</f>
        <v>15590.18</v>
      </c>
    </row>
    <row r="24" spans="1:27" s="44" customFormat="1" ht="34.9" customHeight="1">
      <c r="A24" s="453" t="s">
        <v>328</v>
      </c>
      <c r="B24" s="45"/>
      <c r="C24" s="45"/>
      <c r="D24" s="597">
        <f>D19+D21+D23</f>
        <v>10039.74</v>
      </c>
      <c r="E24" s="597">
        <f t="shared" ref="E24:U24" si="9">E19+E21+E23</f>
        <v>9766.51</v>
      </c>
      <c r="F24" s="597">
        <f t="shared" si="9"/>
        <v>10241.73</v>
      </c>
      <c r="G24" s="597">
        <f t="shared" si="9"/>
        <v>8285.02</v>
      </c>
      <c r="H24" s="601">
        <f>H19+H21+H23+5000</f>
        <v>13550</v>
      </c>
      <c r="I24" s="601">
        <f t="shared" si="9"/>
        <v>15245</v>
      </c>
      <c r="J24" s="601">
        <f>J19+J21+J23</f>
        <v>22710</v>
      </c>
      <c r="K24" s="601">
        <f>K19+K21+K23</f>
        <v>10440</v>
      </c>
      <c r="L24" s="601">
        <f t="shared" si="9"/>
        <v>13130</v>
      </c>
      <c r="M24" s="601">
        <f>M19+M21+M23</f>
        <v>11740</v>
      </c>
      <c r="N24" s="601">
        <f t="shared" si="9"/>
        <v>6300</v>
      </c>
      <c r="O24" s="601">
        <f t="shared" si="9"/>
        <v>8600</v>
      </c>
      <c r="P24" s="11"/>
      <c r="Q24" s="601">
        <f>Q19+Q21+Q23-2</f>
        <v>135046</v>
      </c>
      <c r="R24" s="243" t="s">
        <v>11</v>
      </c>
      <c r="S24" s="502">
        <f>+Q24-U24</f>
        <v>12376</v>
      </c>
      <c r="T24" s="243" t="s">
        <v>11</v>
      </c>
      <c r="U24" s="603">
        <f t="shared" si="9"/>
        <v>122670</v>
      </c>
      <c r="V24" s="51"/>
      <c r="X24"/>
      <c r="Y24"/>
    </row>
    <row r="25" spans="1:27" s="44" customFormat="1" ht="34.9" customHeight="1">
      <c r="B25" s="453"/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11"/>
      <c r="Q25" s="453"/>
      <c r="R25" s="243" t="s">
        <v>11</v>
      </c>
      <c r="S25" s="85"/>
      <c r="T25" s="243" t="s">
        <v>11</v>
      </c>
      <c r="U25" s="453"/>
      <c r="V25" s="453"/>
      <c r="X25"/>
      <c r="Y25"/>
    </row>
    <row r="26" spans="1:27" s="105" customFormat="1" ht="31.5" hidden="1" customHeight="1">
      <c r="A26" s="148"/>
      <c r="B26" s="148" t="s">
        <v>11</v>
      </c>
      <c r="C26" s="148"/>
      <c r="D26" s="357" t="str">
        <f t="shared" ref="D26:O26" si="10">IF((+D$7+D$8)=0," ",D27/(+D$7+D$8))</f>
        <v xml:space="preserve"> </v>
      </c>
      <c r="E26" s="357">
        <f t="shared" si="10"/>
        <v>0.24067388688327315</v>
      </c>
      <c r="F26" s="357">
        <f t="shared" si="10"/>
        <v>0.23965746518390788</v>
      </c>
      <c r="G26" s="357">
        <f t="shared" si="10"/>
        <v>0.2399933794929795</v>
      </c>
      <c r="H26" s="129">
        <f t="shared" si="10"/>
        <v>0.24013892334408335</v>
      </c>
      <c r="I26" s="129">
        <f t="shared" si="10"/>
        <v>0.23994894703254627</v>
      </c>
      <c r="J26" s="129">
        <f t="shared" si="10"/>
        <v>0.24</v>
      </c>
      <c r="K26" s="129">
        <f t="shared" si="10"/>
        <v>0.2400816430667177</v>
      </c>
      <c r="L26" s="129">
        <f t="shared" si="10"/>
        <v>0.23996113989637305</v>
      </c>
      <c r="M26" s="262">
        <f t="shared" si="10"/>
        <v>0.2399766446087972</v>
      </c>
      <c r="N26" s="262">
        <f t="shared" si="10"/>
        <v>0.24023385596598459</v>
      </c>
      <c r="O26" s="262" t="str">
        <f t="shared" si="10"/>
        <v xml:space="preserve"> </v>
      </c>
      <c r="P26" s="11"/>
      <c r="Q26" s="263">
        <f>IF((+Q$7+Q$8)=0," ",Q27/(+Q$7+Q$8))</f>
        <v>0.2400011892077156</v>
      </c>
      <c r="R26" s="243" t="s">
        <v>11</v>
      </c>
      <c r="S26" s="134"/>
      <c r="T26" s="243" t="s">
        <v>11</v>
      </c>
      <c r="U26" s="142">
        <f>IF((+U$7+U$8)=0," ",U27/(+U$7+U$8))</f>
        <v>0.23998937865108869</v>
      </c>
      <c r="V26" s="118"/>
      <c r="X26"/>
      <c r="Y26"/>
      <c r="AA26"/>
    </row>
    <row r="27" spans="1:27" s="5" customFormat="1" ht="27" hidden="1">
      <c r="A27" s="467" t="s">
        <v>174</v>
      </c>
      <c r="B27" s="265"/>
      <c r="C27" s="265"/>
      <c r="D27" s="362" t="s">
        <v>11</v>
      </c>
      <c r="E27" s="362">
        <f t="shared" ref="E27:O27" si="11">ROUND((E7+E8)*24%,-1)</f>
        <v>440</v>
      </c>
      <c r="F27" s="362">
        <f t="shared" si="11"/>
        <v>3280</v>
      </c>
      <c r="G27" s="362">
        <f t="shared" si="11"/>
        <v>4350</v>
      </c>
      <c r="H27" s="577">
        <f t="shared" si="11"/>
        <v>4840</v>
      </c>
      <c r="I27" s="266">
        <f t="shared" si="11"/>
        <v>13160</v>
      </c>
      <c r="J27" s="266">
        <f t="shared" si="11"/>
        <v>18420</v>
      </c>
      <c r="K27" s="266">
        <f t="shared" si="11"/>
        <v>9410</v>
      </c>
      <c r="L27" s="266">
        <f t="shared" si="11"/>
        <v>14820</v>
      </c>
      <c r="M27" s="266">
        <f t="shared" si="11"/>
        <v>12330</v>
      </c>
      <c r="N27" s="266">
        <f t="shared" si="11"/>
        <v>4520</v>
      </c>
      <c r="O27" s="266">
        <f t="shared" si="11"/>
        <v>0</v>
      </c>
      <c r="P27" s="11"/>
      <c r="Q27" s="266">
        <f>SUM(D27:O27)</f>
        <v>85570</v>
      </c>
      <c r="R27" s="243" t="s">
        <v>11</v>
      </c>
      <c r="S27" s="85">
        <f>+Q27-U27</f>
        <v>-4810</v>
      </c>
      <c r="T27" s="243" t="s">
        <v>11</v>
      </c>
      <c r="U27" s="425">
        <v>90380</v>
      </c>
      <c r="V27" s="125"/>
      <c r="X27"/>
      <c r="Y27"/>
      <c r="AA27"/>
    </row>
    <row r="28" spans="1:27" s="127" customFormat="1" ht="27" hidden="1" customHeight="1">
      <c r="A28" s="124"/>
      <c r="B28" s="124"/>
      <c r="C28" s="124"/>
      <c r="D28" s="590" t="str">
        <f t="shared" ref="D28:O28" si="12">IF(+D$7=0," ",D29/+D$7)</f>
        <v xml:space="preserve"> </v>
      </c>
      <c r="E28" s="590">
        <f t="shared" si="12"/>
        <v>0.92369606003752347</v>
      </c>
      <c r="F28" s="590">
        <f t="shared" si="12"/>
        <v>0.63590774689532825</v>
      </c>
      <c r="G28" s="590">
        <f t="shared" si="12"/>
        <v>0.17516417438088458</v>
      </c>
      <c r="H28" s="574">
        <f t="shared" si="12"/>
        <v>0.24</v>
      </c>
      <c r="I28" s="141">
        <f t="shared" si="12"/>
        <v>0.24011242722344911</v>
      </c>
      <c r="J28" s="141">
        <f t="shared" si="12"/>
        <v>0.24010840108401085</v>
      </c>
      <c r="K28" s="141">
        <f t="shared" si="12"/>
        <v>0.23975720789074356</v>
      </c>
      <c r="L28" s="141">
        <f t="shared" si="12"/>
        <v>0.24038461538461539</v>
      </c>
      <c r="M28" s="141">
        <f t="shared" si="12"/>
        <v>0.24017708909795241</v>
      </c>
      <c r="N28" s="141">
        <f t="shared" si="12"/>
        <v>0.23962411902897415</v>
      </c>
      <c r="O28" s="141" t="str">
        <f t="shared" si="12"/>
        <v xml:space="preserve"> </v>
      </c>
      <c r="P28" s="11"/>
      <c r="Q28" s="438">
        <f>IF(+Q$7=0," ",Q29/+Q$7)</f>
        <v>0.25436515680904864</v>
      </c>
      <c r="R28" s="243" t="s">
        <v>11</v>
      </c>
      <c r="S28" s="134"/>
      <c r="T28" s="243" t="s">
        <v>11</v>
      </c>
      <c r="U28" s="559">
        <f>IF(+U$7=0," ",U29/+U$7)</f>
        <v>0.24001229256299939</v>
      </c>
      <c r="V28" s="124"/>
      <c r="X28"/>
      <c r="Y28"/>
    </row>
    <row r="29" spans="1:27" s="44" customFormat="1" ht="35.1" hidden="1" customHeight="1">
      <c r="A29" s="453" t="s">
        <v>156</v>
      </c>
      <c r="B29" s="45"/>
      <c r="C29" s="45"/>
      <c r="D29" s="589">
        <v>76.930000000000007</v>
      </c>
      <c r="E29" s="589">
        <v>492.33</v>
      </c>
      <c r="F29" s="589">
        <v>3225.96</v>
      </c>
      <c r="G29" s="589">
        <v>1106.95</v>
      </c>
      <c r="H29" s="568">
        <f>ROUND((H7*24%),-1)</f>
        <v>1800</v>
      </c>
      <c r="I29" s="145">
        <f>ROUND((I7*24%),-1)</f>
        <v>5980</v>
      </c>
      <c r="J29" s="145">
        <f>ROUND((J7*24%),-1)</f>
        <v>8860</v>
      </c>
      <c r="K29" s="145">
        <f>ROUND((K7*24%),-1)</f>
        <v>3950</v>
      </c>
      <c r="L29" s="145">
        <f>ROUND((L7*24%),-1)+10</f>
        <v>5000</v>
      </c>
      <c r="M29" s="145">
        <f>ROUND((M7*24%),-1)</f>
        <v>4340</v>
      </c>
      <c r="N29" s="145">
        <f>ROUND((N7*24%),-1)</f>
        <v>1530</v>
      </c>
      <c r="O29" s="145">
        <f>ROUND((O7*24%),-1)</f>
        <v>0</v>
      </c>
      <c r="P29" s="11"/>
      <c r="Q29" s="139">
        <f>SUM(D29:O29)+2</f>
        <v>36364.17</v>
      </c>
      <c r="R29" s="243" t="s">
        <v>11</v>
      </c>
      <c r="S29" s="85">
        <f>+Q29-U29</f>
        <v>-2685.8300000000017</v>
      </c>
      <c r="T29" s="243" t="s">
        <v>11</v>
      </c>
      <c r="U29" s="557">
        <v>39050</v>
      </c>
      <c r="V29" s="51"/>
      <c r="X29"/>
      <c r="Y29"/>
      <c r="Z29" s="127"/>
    </row>
    <row r="30" spans="1:27" s="127" customFormat="1" ht="27" hidden="1" customHeight="1">
      <c r="A30" s="464"/>
      <c r="B30" s="124"/>
      <c r="C30" s="124"/>
      <c r="D30" s="590" t="str">
        <f t="shared" ref="D30:O30" si="13">IF((+D$7+D$8)=0," ",D31/(+D$7+D$8))</f>
        <v xml:space="preserve"> </v>
      </c>
      <c r="E30" s="590">
        <f t="shared" si="13"/>
        <v>0</v>
      </c>
      <c r="F30" s="590">
        <f t="shared" si="13"/>
        <v>3.2419517470152412E-3</v>
      </c>
      <c r="G30" s="590">
        <f t="shared" si="13"/>
        <v>0</v>
      </c>
      <c r="H30" s="574">
        <f t="shared" si="13"/>
        <v>4.9615480029769291E-3</v>
      </c>
      <c r="I30" s="141">
        <f t="shared" si="13"/>
        <v>2.2791503327559484E-3</v>
      </c>
      <c r="J30" s="141">
        <f t="shared" si="13"/>
        <v>1.6286644951140066E-3</v>
      </c>
      <c r="K30" s="141">
        <f t="shared" si="13"/>
        <v>3.1891822936599055E-3</v>
      </c>
      <c r="L30" s="141">
        <f t="shared" si="13"/>
        <v>2.023963730569948E-3</v>
      </c>
      <c r="M30" s="141">
        <f t="shared" si="13"/>
        <v>9.7314130011677698E-4</v>
      </c>
      <c r="N30" s="141">
        <f t="shared" si="13"/>
        <v>0</v>
      </c>
      <c r="O30" s="141" t="str">
        <f t="shared" si="13"/>
        <v xml:space="preserve"> </v>
      </c>
      <c r="P30" s="11"/>
      <c r="Q30" s="141">
        <f t="shared" ref="Q30" si="14">IF(+Q$19=0," ",Q31/+Q$19)</f>
        <v>4.8561898817520363E-3</v>
      </c>
      <c r="R30" s="243" t="s">
        <v>11</v>
      </c>
      <c r="S30" s="134"/>
      <c r="T30" s="243" t="s">
        <v>11</v>
      </c>
      <c r="U30" s="558">
        <v>2.2444399102224035E-2</v>
      </c>
      <c r="V30" s="124"/>
      <c r="X30"/>
      <c r="Y30"/>
    </row>
    <row r="31" spans="1:27" s="44" customFormat="1" ht="35.1" hidden="1" customHeight="1">
      <c r="A31" s="453" t="s">
        <v>157</v>
      </c>
      <c r="B31" s="45"/>
      <c r="C31" s="45"/>
      <c r="D31" s="589">
        <v>-161.26</v>
      </c>
      <c r="E31" s="589">
        <v>0</v>
      </c>
      <c r="F31" s="589">
        <v>44.37</v>
      </c>
      <c r="G31" s="589">
        <v>0</v>
      </c>
      <c r="H31" s="568">
        <v>100</v>
      </c>
      <c r="I31" s="145">
        <v>125</v>
      </c>
      <c r="J31" s="145">
        <v>125</v>
      </c>
      <c r="K31" s="145">
        <v>125</v>
      </c>
      <c r="L31" s="145">
        <f>K31</f>
        <v>125</v>
      </c>
      <c r="M31" s="145">
        <v>50</v>
      </c>
      <c r="N31" s="145">
        <v>0</v>
      </c>
      <c r="O31" s="145">
        <v>0</v>
      </c>
      <c r="P31" s="11"/>
      <c r="Q31" s="139">
        <f t="shared" si="7"/>
        <v>533.11</v>
      </c>
      <c r="R31" s="243" t="s">
        <v>11</v>
      </c>
      <c r="S31" s="85">
        <f>+Q31-U31</f>
        <v>-1666.8899999999999</v>
      </c>
      <c r="T31" s="243" t="s">
        <v>11</v>
      </c>
      <c r="U31" s="557">
        <v>2200</v>
      </c>
      <c r="V31" s="51"/>
      <c r="X31"/>
      <c r="Y31"/>
    </row>
    <row r="32" spans="1:27" s="127" customFormat="1" ht="27" hidden="1" customHeight="1">
      <c r="A32" s="464"/>
      <c r="B32" s="148"/>
      <c r="C32" s="148"/>
      <c r="D32" s="590" t="str">
        <f>IF((+D$7+D$8)=0," ",D33/(+D$7+D$8))</f>
        <v xml:space="preserve"> </v>
      </c>
      <c r="E32" s="590">
        <f>IF((+E$7+E$8)=0," ",E33/(+E$7+E$8))</f>
        <v>2.9305327644677828</v>
      </c>
      <c r="F32" s="590">
        <f>IF((+F$7+F$8)=0," ",F33/(+F$7+F$8))</f>
        <v>0.42701334190644585</v>
      </c>
      <c r="G32" s="590">
        <f>IF((+G$7+G$8)=0," ",G33/(+G$7+G$8))</f>
        <v>0.20340956111555544</v>
      </c>
      <c r="H32" s="574">
        <f>IF((+H$7+H$8)=0," ",H33/(+H$7+H$8))</f>
        <v>0.20422128504093276</v>
      </c>
      <c r="I32" s="141">
        <f>IF((O35+I$7+I$8)=0," ",I33/(+I$7+I$8))</f>
        <v>7.8949767526666062E-2</v>
      </c>
      <c r="J32" s="141">
        <f>IF((P35+J$7+J$8)=0," ",J33/(+J$7+J$8))</f>
        <v>6.3791530944625405E-2</v>
      </c>
      <c r="K32" s="141">
        <f t="shared" ref="K32:O32" si="15">IF((+K$7+K$8)=0," ",K33/(+K$7+K$8))</f>
        <v>0.11851001403240209</v>
      </c>
      <c r="L32" s="141">
        <f t="shared" si="15"/>
        <v>8.022992227979274E-2</v>
      </c>
      <c r="M32" s="141">
        <f t="shared" si="15"/>
        <v>8.7096146360451543E-2</v>
      </c>
      <c r="N32" s="141">
        <f t="shared" si="15"/>
        <v>0.18602179112410311</v>
      </c>
      <c r="O32" s="141" t="str">
        <f t="shared" si="15"/>
        <v xml:space="preserve"> </v>
      </c>
      <c r="P32" s="11"/>
      <c r="Q32" s="141">
        <f>IF((+Q$7+Q$8)=0," ",(+Q33+Q34)/(+Q$7+Q$8))</f>
        <v>0.15326054088682164</v>
      </c>
      <c r="R32" s="243" t="s">
        <v>11</v>
      </c>
      <c r="S32" s="134"/>
      <c r="T32" s="243" t="s">
        <v>11</v>
      </c>
      <c r="U32" s="556">
        <f>IF((+U$7+U$8)=0," ",(+U33+U34)/(+U$7+U$8))</f>
        <v>0.14498170877366853</v>
      </c>
      <c r="V32" s="124"/>
      <c r="X32"/>
      <c r="Y32"/>
    </row>
    <row r="33" spans="1:27" s="44" customFormat="1" ht="35.1" hidden="1" customHeight="1">
      <c r="A33" s="453" t="s">
        <v>158</v>
      </c>
      <c r="B33" s="149"/>
      <c r="C33" s="149"/>
      <c r="D33" s="589">
        <v>5212.58</v>
      </c>
      <c r="E33" s="589">
        <v>5357.6</v>
      </c>
      <c r="F33" s="589">
        <v>5844.19</v>
      </c>
      <c r="G33" s="589">
        <v>3686.9</v>
      </c>
      <c r="H33" s="568">
        <v>4116.08</v>
      </c>
      <c r="I33" s="145">
        <f>4327+3</f>
        <v>4330</v>
      </c>
      <c r="J33" s="145">
        <v>4896</v>
      </c>
      <c r="K33" s="145">
        <v>4645</v>
      </c>
      <c r="L33" s="145">
        <f>4952+3</f>
        <v>4955</v>
      </c>
      <c r="M33" s="145">
        <v>4475</v>
      </c>
      <c r="N33" s="145">
        <v>3500</v>
      </c>
      <c r="O33" s="145">
        <v>3625</v>
      </c>
      <c r="P33" s="11"/>
      <c r="Q33" s="139">
        <f>SUM(D33:O33)</f>
        <v>54643.35</v>
      </c>
      <c r="R33" s="243" t="s">
        <v>11</v>
      </c>
      <c r="S33" s="85">
        <f>+Q33-U33</f>
        <v>43.349999999998545</v>
      </c>
      <c r="T33" s="243" t="s">
        <v>11</v>
      </c>
      <c r="U33" s="557">
        <v>54600</v>
      </c>
      <c r="V33" s="51"/>
      <c r="X33"/>
      <c r="Y33"/>
    </row>
    <row r="34" spans="1:27" s="127" customFormat="1" ht="27" hidden="1" customHeight="1">
      <c r="A34" s="464"/>
      <c r="B34" s="124"/>
      <c r="C34" s="124"/>
      <c r="D34" s="590" t="str">
        <f t="shared" ref="D34:O34" si="16">IF((+D$7+D$8)=0," ",D35/(+D$7+D$8))</f>
        <v xml:space="preserve"> </v>
      </c>
      <c r="E34" s="590">
        <f t="shared" si="16"/>
        <v>2.4040039382999669</v>
      </c>
      <c r="F34" s="590">
        <f t="shared" si="16"/>
        <v>0.32112639008636434</v>
      </c>
      <c r="G34" s="590">
        <f t="shared" si="16"/>
        <v>0.24247606962566551</v>
      </c>
      <c r="H34" s="574">
        <f t="shared" si="16"/>
        <v>0.21806003473083602</v>
      </c>
      <c r="I34" s="141">
        <f t="shared" si="16"/>
        <v>8.0134925699699155E-2</v>
      </c>
      <c r="J34" s="141">
        <f t="shared" si="16"/>
        <v>5.7263843648208468E-2</v>
      </c>
      <c r="K34" s="141">
        <f t="shared" si="16"/>
        <v>0.11213164944508228</v>
      </c>
      <c r="L34" s="141">
        <f t="shared" si="16"/>
        <v>7.1162564766839381E-2</v>
      </c>
      <c r="M34" s="141">
        <f t="shared" si="16"/>
        <v>8.5539120280264697E-2</v>
      </c>
      <c r="N34" s="141">
        <f t="shared" si="16"/>
        <v>0.23359022056869519</v>
      </c>
      <c r="O34" s="141" t="str">
        <f t="shared" si="16"/>
        <v xml:space="preserve"> </v>
      </c>
      <c r="P34" s="11"/>
      <c r="Q34" s="141">
        <f>IF((+Q$7+Q$8)=0," ",Q35/(+Q$7+Q$8))</f>
        <v>0.14792173330390229</v>
      </c>
      <c r="R34" s="243" t="s">
        <v>11</v>
      </c>
      <c r="S34" s="134"/>
      <c r="T34" s="243" t="s">
        <v>11</v>
      </c>
      <c r="U34" s="556">
        <f>IF((+U$7+U$8)=0," ",U35/(+U$7+U$8))</f>
        <v>0.11152416356877323</v>
      </c>
      <c r="V34" s="124"/>
      <c r="X34"/>
      <c r="Y34"/>
    </row>
    <row r="35" spans="1:27" s="44" customFormat="1" ht="35.1" hidden="1" customHeight="1">
      <c r="A35" s="453" t="s">
        <v>159</v>
      </c>
      <c r="B35" s="268"/>
      <c r="C35" s="268"/>
      <c r="D35" s="368">
        <v>4395</v>
      </c>
      <c r="E35" s="368">
        <v>4395</v>
      </c>
      <c r="F35" s="368">
        <f t="shared" ref="F35:O35" si="17">E35</f>
        <v>4395</v>
      </c>
      <c r="G35" s="368">
        <f t="shared" si="17"/>
        <v>4395</v>
      </c>
      <c r="H35" s="575">
        <f t="shared" si="17"/>
        <v>4395</v>
      </c>
      <c r="I35" s="292">
        <f t="shared" si="17"/>
        <v>4395</v>
      </c>
      <c r="J35" s="292">
        <f t="shared" si="17"/>
        <v>4395</v>
      </c>
      <c r="K35" s="292">
        <f t="shared" si="17"/>
        <v>4395</v>
      </c>
      <c r="L35" s="292">
        <f t="shared" si="17"/>
        <v>4395</v>
      </c>
      <c r="M35" s="292">
        <f t="shared" si="17"/>
        <v>4395</v>
      </c>
      <c r="N35" s="292">
        <f>M35</f>
        <v>4395</v>
      </c>
      <c r="O35" s="292">
        <f t="shared" si="17"/>
        <v>4395</v>
      </c>
      <c r="P35" s="11"/>
      <c r="Q35" s="269">
        <f>SUM(D35:O35)</f>
        <v>52740</v>
      </c>
      <c r="R35" s="243" t="s">
        <v>11</v>
      </c>
      <c r="S35" s="85">
        <f>+Q35-U35</f>
        <v>10740</v>
      </c>
      <c r="T35" s="243" t="s">
        <v>11</v>
      </c>
      <c r="U35" s="560">
        <v>42000</v>
      </c>
      <c r="V35" s="51"/>
      <c r="X35"/>
      <c r="Y35"/>
      <c r="AA35" s="440">
        <f>SUM(D35:O35)</f>
        <v>52740</v>
      </c>
    </row>
    <row r="36" spans="1:27" s="127" customFormat="1" ht="27" hidden="1" customHeight="1">
      <c r="A36" s="464"/>
      <c r="B36" s="124"/>
      <c r="C36" s="124"/>
      <c r="D36" s="366" t="str">
        <f t="shared" ref="D36:O36" si="18">IF((+D$7+D$8)=0," ",D37/(+D$7+D$8))</f>
        <v xml:space="preserve"> </v>
      </c>
      <c r="E36" s="366">
        <f t="shared" si="18"/>
        <v>0.35154250082047916</v>
      </c>
      <c r="F36" s="366">
        <f t="shared" si="18"/>
        <v>3.1753152810860573E-2</v>
      </c>
      <c r="G36" s="366">
        <f t="shared" si="18"/>
        <v>0.10448704863314116</v>
      </c>
      <c r="H36" s="574">
        <f t="shared" si="18"/>
        <v>2.64946663358968E-2</v>
      </c>
      <c r="I36" s="141">
        <f t="shared" si="18"/>
        <v>9.1166013310237937E-3</v>
      </c>
      <c r="J36" s="141">
        <f t="shared" si="18"/>
        <v>6.5146579804560263E-3</v>
      </c>
      <c r="K36" s="141">
        <f t="shared" si="18"/>
        <v>1.2756729174639622E-2</v>
      </c>
      <c r="L36" s="141">
        <f t="shared" si="18"/>
        <v>8.095854922279792E-3</v>
      </c>
      <c r="M36" s="141">
        <f t="shared" si="18"/>
        <v>9.7314130011677703E-3</v>
      </c>
      <c r="N36" s="141">
        <f t="shared" si="18"/>
        <v>2.6574541589157587E-2</v>
      </c>
      <c r="O36" s="141" t="str">
        <f t="shared" si="18"/>
        <v xml:space="preserve"> </v>
      </c>
      <c r="P36" s="11"/>
      <c r="Q36" s="141">
        <f>IF((+Q$7+Q$8)=0," ",Q37/(+Q$7+Q$8))</f>
        <v>2.0261827638365298E-2</v>
      </c>
      <c r="R36" s="243" t="s">
        <v>11</v>
      </c>
      <c r="S36" s="134"/>
      <c r="T36" s="243" t="s">
        <v>11</v>
      </c>
      <c r="U36" s="556">
        <f>IF((+U$7+U$8)=0," ",U37/(+U$7+U$8))</f>
        <v>2.3898035050451408E-2</v>
      </c>
      <c r="V36" s="124"/>
      <c r="X36"/>
      <c r="Y36"/>
    </row>
    <row r="37" spans="1:27" s="44" customFormat="1" ht="35.1" hidden="1" customHeight="1">
      <c r="A37" s="453" t="s">
        <v>160</v>
      </c>
      <c r="B37" s="45"/>
      <c r="C37" s="45"/>
      <c r="D37" s="589">
        <v>219</v>
      </c>
      <c r="E37" s="589">
        <v>642.69000000000005</v>
      </c>
      <c r="F37" s="589">
        <v>434.58</v>
      </c>
      <c r="G37" s="589">
        <v>1893.88</v>
      </c>
      <c r="H37" s="568">
        <f>532+2</f>
        <v>534</v>
      </c>
      <c r="I37" s="145">
        <v>500</v>
      </c>
      <c r="J37" s="145">
        <v>500</v>
      </c>
      <c r="K37" s="145">
        <v>500</v>
      </c>
      <c r="L37" s="145">
        <v>500</v>
      </c>
      <c r="M37" s="145">
        <v>500</v>
      </c>
      <c r="N37" s="145">
        <v>500</v>
      </c>
      <c r="O37" s="145">
        <v>500</v>
      </c>
      <c r="P37" s="11"/>
      <c r="Q37" s="139">
        <f t="shared" si="7"/>
        <v>7224.15</v>
      </c>
      <c r="R37" s="243" t="s">
        <v>11</v>
      </c>
      <c r="S37" s="85">
        <f>+Q37-U37</f>
        <v>-1775.8500000000004</v>
      </c>
      <c r="T37" s="243" t="s">
        <v>11</v>
      </c>
      <c r="U37" s="557">
        <v>9000</v>
      </c>
      <c r="V37" s="51"/>
      <c r="X37"/>
      <c r="Y37"/>
    </row>
    <row r="38" spans="1:27" s="127" customFormat="1" ht="27" hidden="1" customHeight="1">
      <c r="A38" s="464"/>
      <c r="B38" s="124"/>
      <c r="C38" s="124"/>
      <c r="D38" s="590" t="str">
        <f t="shared" ref="D38:J38" si="19">IF((+D$7+D$8)=0," ",D39/(+D$7+D$8))</f>
        <v xml:space="preserve"> </v>
      </c>
      <c r="E38" s="590">
        <f t="shared" si="19"/>
        <v>4.7647959741822558E-2</v>
      </c>
      <c r="F38" s="590">
        <f t="shared" si="19"/>
        <v>1.0419254431471115E-2</v>
      </c>
      <c r="G38" s="590">
        <f t="shared" si="19"/>
        <v>5.8541833328735755E-2</v>
      </c>
      <c r="H38" s="574">
        <f t="shared" si="19"/>
        <v>7.9384768047630866E-2</v>
      </c>
      <c r="I38" s="141">
        <f t="shared" si="19"/>
        <v>2.2700337314249249E-2</v>
      </c>
      <c r="J38" s="141">
        <f t="shared" si="19"/>
        <v>1.6729641693811075E-2</v>
      </c>
      <c r="K38" s="141">
        <f>IF((+K$7+K$8)=0," ",K39/(+K$7+K$8))</f>
        <v>3.8270187523918864E-2</v>
      </c>
      <c r="L38" s="141">
        <f>IF((+L$7+L$8)=0," ",L39/(+L$7+L$8))</f>
        <v>2.3073186528497408E-2</v>
      </c>
      <c r="M38" s="141">
        <f>IF((+M$7+M$8)=0," ",M39/(+M$7+M$8))</f>
        <v>1.6446087971973531E-2</v>
      </c>
      <c r="N38" s="141">
        <f>IF((+N$7+N$8)=0," ",N39/(+N$7+N$8))</f>
        <v>2.6574541589157587E-2</v>
      </c>
      <c r="O38" s="141" t="str">
        <f>IF((+O$7+O$8)=0," ",O39/(+O$7+O$8))</f>
        <v xml:space="preserve"> </v>
      </c>
      <c r="P38" s="11"/>
      <c r="Q38" s="141">
        <f>IF((+Q$7+Q$8)=0," ",Q39/(+Q$7+Q$8))</f>
        <v>2.925344400444382E-2</v>
      </c>
      <c r="R38" s="243" t="s">
        <v>11</v>
      </c>
      <c r="S38" s="134"/>
      <c r="T38" s="243" t="s">
        <v>11</v>
      </c>
      <c r="U38" s="556">
        <f>IF((+U$7+U$8)=0," ",U39/(+U$7+U$8))</f>
        <v>4.1423260754115773E-2</v>
      </c>
      <c r="V38" s="124"/>
      <c r="X38"/>
      <c r="Y38"/>
    </row>
    <row r="39" spans="1:27" s="44" customFormat="1" ht="34.5" hidden="1" customHeight="1">
      <c r="A39" s="453" t="s">
        <v>161</v>
      </c>
      <c r="B39" s="45"/>
      <c r="C39" s="45"/>
      <c r="D39" s="589">
        <v>440.21</v>
      </c>
      <c r="E39" s="589">
        <v>87.11</v>
      </c>
      <c r="F39" s="589">
        <v>142.6</v>
      </c>
      <c r="G39" s="589">
        <v>1061.0999999999999</v>
      </c>
      <c r="H39" s="568">
        <v>1600</v>
      </c>
      <c r="I39" s="145">
        <v>1245</v>
      </c>
      <c r="J39" s="145">
        <v>1284</v>
      </c>
      <c r="K39" s="145">
        <v>1500</v>
      </c>
      <c r="L39" s="145">
        <v>1425</v>
      </c>
      <c r="M39" s="145">
        <v>845</v>
      </c>
      <c r="N39" s="145">
        <v>500</v>
      </c>
      <c r="O39" s="145">
        <v>300</v>
      </c>
      <c r="P39" s="11"/>
      <c r="Q39" s="139">
        <f t="shared" si="7"/>
        <v>10430.02</v>
      </c>
      <c r="R39" s="243" t="s">
        <v>11</v>
      </c>
      <c r="S39" s="85">
        <f>+Q39-U39</f>
        <v>-5169.9799999999996</v>
      </c>
      <c r="T39" s="243" t="s">
        <v>11</v>
      </c>
      <c r="U39" s="557">
        <v>15600</v>
      </c>
      <c r="V39" s="51"/>
      <c r="X39"/>
      <c r="Y39"/>
    </row>
    <row r="40" spans="1:27" s="127" customFormat="1" ht="27" hidden="1" customHeight="1">
      <c r="A40" s="124"/>
      <c r="B40" s="124"/>
      <c r="C40" s="124"/>
      <c r="D40" s="590" t="str">
        <f t="shared" ref="D40:O40" si="20">IF((+D$7+D$8)=0," ",D41/(+D$7+D$8))</f>
        <v xml:space="preserve"> </v>
      </c>
      <c r="E40" s="590">
        <f t="shared" si="20"/>
        <v>0</v>
      </c>
      <c r="F40" s="590">
        <f t="shared" si="20"/>
        <v>0</v>
      </c>
      <c r="G40" s="590">
        <f t="shared" si="20"/>
        <v>0</v>
      </c>
      <c r="H40" s="141">
        <f t="shared" si="20"/>
        <v>0</v>
      </c>
      <c r="I40" s="141">
        <f t="shared" si="20"/>
        <v>0</v>
      </c>
      <c r="J40" s="141">
        <f t="shared" si="20"/>
        <v>0</v>
      </c>
      <c r="K40" s="141">
        <f t="shared" si="20"/>
        <v>0</v>
      </c>
      <c r="L40" s="141">
        <f t="shared" si="20"/>
        <v>0</v>
      </c>
      <c r="M40" s="141">
        <f t="shared" si="20"/>
        <v>0</v>
      </c>
      <c r="N40" s="141">
        <f t="shared" si="20"/>
        <v>0</v>
      </c>
      <c r="O40" s="141" t="str">
        <f t="shared" si="20"/>
        <v xml:space="preserve"> </v>
      </c>
      <c r="P40" s="11"/>
      <c r="Q40" s="141">
        <f>IF((+Q$7+Q$8)=0," ",Q41/(+Q$7+Q$8))</f>
        <v>0</v>
      </c>
      <c r="R40" s="243" t="s">
        <v>11</v>
      </c>
      <c r="S40" s="134"/>
      <c r="T40" s="243" t="s">
        <v>11</v>
      </c>
      <c r="U40" s="558">
        <v>0</v>
      </c>
      <c r="V40" s="124"/>
      <c r="X40"/>
      <c r="Y40"/>
    </row>
    <row r="41" spans="1:27" s="153" customFormat="1" ht="33.75" hidden="1" customHeight="1">
      <c r="A41" s="268" t="s">
        <v>329</v>
      </c>
      <c r="B41" s="268"/>
      <c r="C41" s="268"/>
      <c r="D41" s="368">
        <v>0</v>
      </c>
      <c r="E41" s="368">
        <v>0</v>
      </c>
      <c r="F41" s="368">
        <v>0</v>
      </c>
      <c r="G41" s="368">
        <v>0</v>
      </c>
      <c r="H41" s="292">
        <v>0</v>
      </c>
      <c r="I41" s="292">
        <v>0</v>
      </c>
      <c r="J41" s="292">
        <v>0</v>
      </c>
      <c r="K41" s="292">
        <v>0</v>
      </c>
      <c r="L41" s="292">
        <v>0</v>
      </c>
      <c r="M41" s="292">
        <v>0</v>
      </c>
      <c r="N41" s="292">
        <v>0</v>
      </c>
      <c r="O41" s="292">
        <v>0</v>
      </c>
      <c r="P41" s="11"/>
      <c r="Q41" s="269">
        <f t="shared" si="7"/>
        <v>0</v>
      </c>
      <c r="R41" s="243" t="s">
        <v>11</v>
      </c>
      <c r="S41" s="85">
        <f>+Q41-U41</f>
        <v>0</v>
      </c>
      <c r="T41" s="243" t="s">
        <v>11</v>
      </c>
      <c r="U41" s="560">
        <v>0</v>
      </c>
      <c r="V41" s="138"/>
      <c r="X41"/>
      <c r="Y41"/>
    </row>
    <row r="42" spans="1:27" s="44" customFormat="1" ht="34.9" customHeight="1">
      <c r="A42" s="453" t="s">
        <v>330</v>
      </c>
      <c r="B42" s="453"/>
      <c r="C42" s="453"/>
      <c r="D42" s="597">
        <f t="shared" ref="D42:O42" si="21">SUM(D27,D29,D31,D33,D35,D37,D39)</f>
        <v>10182.459999999999</v>
      </c>
      <c r="E42" s="597">
        <f t="shared" si="21"/>
        <v>11414.730000000001</v>
      </c>
      <c r="F42" s="597">
        <f t="shared" si="21"/>
        <v>17366.7</v>
      </c>
      <c r="G42" s="597">
        <f t="shared" si="21"/>
        <v>16493.829999999998</v>
      </c>
      <c r="H42" s="601">
        <f t="shared" si="21"/>
        <v>17385.080000000002</v>
      </c>
      <c r="I42" s="601">
        <f t="shared" si="21"/>
        <v>29735</v>
      </c>
      <c r="J42" s="601">
        <f t="shared" si="21"/>
        <v>38480</v>
      </c>
      <c r="K42" s="601">
        <f t="shared" si="21"/>
        <v>24525</v>
      </c>
      <c r="L42" s="601">
        <f t="shared" si="21"/>
        <v>31220</v>
      </c>
      <c r="M42" s="601">
        <f t="shared" si="21"/>
        <v>26935</v>
      </c>
      <c r="N42" s="601">
        <f t="shared" si="21"/>
        <v>14945</v>
      </c>
      <c r="O42" s="601">
        <f t="shared" si="21"/>
        <v>8820</v>
      </c>
      <c r="P42" s="11"/>
      <c r="Q42" s="601">
        <f>SUM(Q27,Q29,Q31,Q33,Q35,Q37,Q39)</f>
        <v>247504.8</v>
      </c>
      <c r="R42" s="243" t="s">
        <v>11</v>
      </c>
      <c r="S42" s="502">
        <f>+Q42-U42</f>
        <v>-5325.2000000000116</v>
      </c>
      <c r="T42" s="243" t="s">
        <v>11</v>
      </c>
      <c r="U42" s="603">
        <f>SUM(U27,U29,U31,U33,U35,U37,U39)</f>
        <v>252830</v>
      </c>
      <c r="V42" s="51"/>
      <c r="X42"/>
      <c r="Y42"/>
    </row>
    <row r="43" spans="1:27" s="127" customFormat="1" ht="27" hidden="1" customHeight="1">
      <c r="A43" s="464"/>
      <c r="B43" s="124"/>
      <c r="C43" s="124"/>
      <c r="D43" s="366" t="str">
        <f t="shared" ref="D43:O43" si="22">IF((+D$7+D$8)=0," ",D44/(+D$7+D$8))</f>
        <v xml:space="preserve"> </v>
      </c>
      <c r="E43" s="366">
        <f t="shared" si="22"/>
        <v>3.386390985668964E-2</v>
      </c>
      <c r="F43" s="366">
        <f t="shared" si="22"/>
        <v>0</v>
      </c>
      <c r="G43" s="366">
        <f t="shared" si="22"/>
        <v>0</v>
      </c>
      <c r="H43" s="141">
        <f t="shared" si="22"/>
        <v>9.9230960059538582E-3</v>
      </c>
      <c r="I43" s="141">
        <f t="shared" si="22"/>
        <v>3.6466405324095176E-3</v>
      </c>
      <c r="J43" s="141">
        <f t="shared" si="22"/>
        <v>2.6058631921824105E-3</v>
      </c>
      <c r="K43" s="141">
        <f t="shared" si="22"/>
        <v>5.1026916698558491E-3</v>
      </c>
      <c r="L43" s="141">
        <f t="shared" si="22"/>
        <v>3.2383419689119169E-3</v>
      </c>
      <c r="M43" s="141">
        <f t="shared" si="22"/>
        <v>3.8925652004671079E-3</v>
      </c>
      <c r="N43" s="141">
        <f t="shared" si="22"/>
        <v>1.0629816635663035E-2</v>
      </c>
      <c r="O43" s="141" t="str">
        <f t="shared" si="22"/>
        <v xml:space="preserve"> </v>
      </c>
      <c r="P43" s="11"/>
      <c r="Q43" s="141">
        <f>IF((+Q$7+Q$8)=0," ",Q44/(+Q$7+Q$8))</f>
        <v>4.6975668080907629E-3</v>
      </c>
      <c r="R43" s="243" t="s">
        <v>11</v>
      </c>
      <c r="S43" s="134"/>
      <c r="T43" s="243" t="s">
        <v>11</v>
      </c>
      <c r="U43" s="558">
        <v>5.5762081784386614E-3</v>
      </c>
      <c r="V43" s="124"/>
      <c r="X43"/>
      <c r="Y43"/>
    </row>
    <row r="44" spans="1:27" s="44" customFormat="1" ht="35.1" hidden="1" customHeight="1">
      <c r="A44" s="453" t="s">
        <v>163</v>
      </c>
      <c r="B44" s="45"/>
      <c r="C44" s="45"/>
      <c r="D44" s="589">
        <v>12.96</v>
      </c>
      <c r="E44" s="589">
        <v>61.91</v>
      </c>
      <c r="F44" s="589">
        <v>0</v>
      </c>
      <c r="G44" s="589">
        <v>0</v>
      </c>
      <c r="H44" s="145">
        <v>200</v>
      </c>
      <c r="I44" s="145">
        <v>200</v>
      </c>
      <c r="J44" s="145">
        <v>200</v>
      </c>
      <c r="K44" s="145">
        <v>200</v>
      </c>
      <c r="L44" s="145">
        <v>200</v>
      </c>
      <c r="M44" s="145">
        <v>200</v>
      </c>
      <c r="N44" s="145">
        <v>200</v>
      </c>
      <c r="O44" s="145">
        <v>200</v>
      </c>
      <c r="P44" s="11"/>
      <c r="Q44" s="139">
        <f>SUM(D44:O44)</f>
        <v>1674.87</v>
      </c>
      <c r="R44" s="243" t="s">
        <v>11</v>
      </c>
      <c r="S44" s="85">
        <f>+Q44-U44</f>
        <v>-425.13000000000011</v>
      </c>
      <c r="T44" s="243" t="s">
        <v>11</v>
      </c>
      <c r="U44" s="557">
        <v>2100</v>
      </c>
      <c r="V44" s="51"/>
      <c r="X44"/>
      <c r="Y44"/>
    </row>
    <row r="45" spans="1:27" s="127" customFormat="1" ht="27" hidden="1" customHeight="1">
      <c r="B45" s="124"/>
      <c r="C45" s="124"/>
      <c r="D45" s="590" t="str">
        <f t="shared" ref="D45:O45" si="23">IF((+D$7+D$8)=0," ",D46/(+D$7+D$8))</f>
        <v xml:space="preserve"> </v>
      </c>
      <c r="E45" s="590">
        <f t="shared" si="23"/>
        <v>4.9775735696313314E-4</v>
      </c>
      <c r="F45" s="590">
        <f t="shared" si="23"/>
        <v>5.8030717072671739E-2</v>
      </c>
      <c r="G45" s="590">
        <f t="shared" si="23"/>
        <v>6.3810653499213809E-3</v>
      </c>
      <c r="H45" s="141">
        <f t="shared" si="23"/>
        <v>1.3644257008186554E-2</v>
      </c>
      <c r="I45" s="141">
        <f t="shared" si="23"/>
        <v>8.5696052511623662E-3</v>
      </c>
      <c r="J45" s="141">
        <f t="shared" si="23"/>
        <v>3.2573289902280132E-3</v>
      </c>
      <c r="K45" s="141">
        <f t="shared" si="23"/>
        <v>6.3783645873198109E-3</v>
      </c>
      <c r="L45" s="141">
        <f t="shared" si="23"/>
        <v>5.2623056994818649E-3</v>
      </c>
      <c r="M45" s="141">
        <f t="shared" si="23"/>
        <v>6.8119891008174387E-3</v>
      </c>
      <c r="N45" s="141">
        <f t="shared" si="23"/>
        <v>1.3287270794578794E-2</v>
      </c>
      <c r="O45" s="141" t="str">
        <f t="shared" si="23"/>
        <v xml:space="preserve"> </v>
      </c>
      <c r="P45" s="11"/>
      <c r="Q45" s="141">
        <f>IF((+Q$7+Q$8)=0," ",Q46/(+Q$7+Q$8))</f>
        <v>9.6816092672937868E-3</v>
      </c>
      <c r="R45" s="243" t="s">
        <v>11</v>
      </c>
      <c r="S45" s="134"/>
      <c r="T45" s="243" t="s">
        <v>11</v>
      </c>
      <c r="U45" s="558">
        <v>9.8247477429633558E-3</v>
      </c>
      <c r="V45" s="124"/>
      <c r="X45"/>
      <c r="Y45"/>
    </row>
    <row r="46" spans="1:27" s="44" customFormat="1" ht="35.1" hidden="1" customHeight="1">
      <c r="A46" s="465" t="s">
        <v>162</v>
      </c>
      <c r="B46" s="45"/>
      <c r="C46" s="45"/>
      <c r="D46" s="589">
        <v>121.09</v>
      </c>
      <c r="E46" s="589">
        <v>0.91</v>
      </c>
      <c r="F46" s="589">
        <v>794.22</v>
      </c>
      <c r="G46" s="589">
        <v>115.66</v>
      </c>
      <c r="H46" s="145">
        <v>275</v>
      </c>
      <c r="I46" s="145">
        <f>475-5</f>
        <v>470</v>
      </c>
      <c r="J46" s="145">
        <v>250</v>
      </c>
      <c r="K46" s="145">
        <v>250</v>
      </c>
      <c r="L46" s="145">
        <v>325</v>
      </c>
      <c r="M46" s="145">
        <v>350</v>
      </c>
      <c r="N46" s="145">
        <v>250</v>
      </c>
      <c r="O46" s="145">
        <v>250</v>
      </c>
      <c r="P46" s="11"/>
      <c r="Q46" s="139">
        <f t="shared" si="7"/>
        <v>3451.88</v>
      </c>
      <c r="R46" s="243" t="s">
        <v>11</v>
      </c>
      <c r="S46" s="85">
        <f>+Q46-U46</f>
        <v>-248.11999999999989</v>
      </c>
      <c r="T46" s="243" t="s">
        <v>11</v>
      </c>
      <c r="U46" s="557">
        <v>3700</v>
      </c>
      <c r="V46" s="51"/>
      <c r="X46"/>
      <c r="Y46"/>
    </row>
    <row r="47" spans="1:27" s="127" customFormat="1" ht="27" hidden="1" customHeight="1">
      <c r="A47" s="464"/>
      <c r="B47" s="124"/>
      <c r="C47" s="124"/>
      <c r="D47" s="590" t="str">
        <f t="shared" ref="D47:O51" si="24">IF((+D$7+D$8)=0," ",D48/(+D$7+D$8))</f>
        <v xml:space="preserve"> </v>
      </c>
      <c r="E47" s="590">
        <f t="shared" si="24"/>
        <v>6.5638332786347228E-3</v>
      </c>
      <c r="F47" s="590">
        <f t="shared" si="24"/>
        <v>4.0540836755271731E-2</v>
      </c>
      <c r="G47" s="590">
        <f t="shared" si="24"/>
        <v>1.5999558632865299E-2</v>
      </c>
      <c r="H47" s="141">
        <f t="shared" si="24"/>
        <v>0</v>
      </c>
      <c r="I47" s="141">
        <f t="shared" si="24"/>
        <v>9.1166013310237937E-3</v>
      </c>
      <c r="J47" s="141">
        <f t="shared" si="24"/>
        <v>0</v>
      </c>
      <c r="K47" s="141">
        <f t="shared" si="24"/>
        <v>0</v>
      </c>
      <c r="L47" s="141">
        <f t="shared" si="24"/>
        <v>5.2623056994818649E-3</v>
      </c>
      <c r="M47" s="141">
        <f t="shared" si="24"/>
        <v>0</v>
      </c>
      <c r="N47" s="141">
        <f t="shared" si="24"/>
        <v>0</v>
      </c>
      <c r="O47" s="141" t="str">
        <f t="shared" si="24"/>
        <v xml:space="preserve"> </v>
      </c>
      <c r="P47" s="11"/>
      <c r="Q47" s="141">
        <f>IF((+Q$7+Q$8)=0," ",Q48/(+Q$7+Q$8))</f>
        <v>7.5290311126468591E-3</v>
      </c>
      <c r="R47" s="243" t="s">
        <v>11</v>
      </c>
      <c r="S47" s="134"/>
      <c r="T47" s="243" t="s">
        <v>11</v>
      </c>
      <c r="U47" s="558">
        <v>1.3542219861922463E-2</v>
      </c>
      <c r="V47" s="124"/>
      <c r="X47"/>
      <c r="Y47"/>
    </row>
    <row r="48" spans="1:27" s="44" customFormat="1" ht="35.1" hidden="1" customHeight="1">
      <c r="A48" s="453" t="s">
        <v>164</v>
      </c>
      <c r="B48" s="45"/>
      <c r="C48" s="45"/>
      <c r="D48" s="589">
        <v>2.5499999999999998</v>
      </c>
      <c r="E48" s="589">
        <v>12</v>
      </c>
      <c r="F48" s="589">
        <v>554.85</v>
      </c>
      <c r="G48" s="589">
        <v>290</v>
      </c>
      <c r="H48" s="497">
        <f>'[1]Input Wrksht '!J23+'[1]Input Wrksht '!J29+'[1]Input Wrksht '!J19</f>
        <v>0</v>
      </c>
      <c r="I48" s="145">
        <f>530-30</f>
        <v>500</v>
      </c>
      <c r="J48" s="497">
        <f>'[1]Input Wrksht '!L23+'[1]Input Wrksht '!L29+'[1]Input Wrksht '!L19</f>
        <v>0</v>
      </c>
      <c r="K48" s="497">
        <v>0</v>
      </c>
      <c r="L48" s="145">
        <v>325</v>
      </c>
      <c r="M48" s="145">
        <v>0</v>
      </c>
      <c r="N48" s="145">
        <v>0</v>
      </c>
      <c r="O48" s="145">
        <v>1000</v>
      </c>
      <c r="P48" s="11"/>
      <c r="Q48" s="139">
        <f t="shared" si="7"/>
        <v>2684.4</v>
      </c>
      <c r="R48" s="243" t="s">
        <v>11</v>
      </c>
      <c r="S48" s="85">
        <f>+Q48-U48</f>
        <v>-2415.6</v>
      </c>
      <c r="T48" s="243" t="s">
        <v>11</v>
      </c>
      <c r="U48" s="557">
        <v>5100</v>
      </c>
      <c r="V48" s="51"/>
      <c r="X48"/>
      <c r="Y48"/>
    </row>
    <row r="49" spans="1:27" s="127" customFormat="1" ht="27" hidden="1" customHeight="1">
      <c r="A49" s="124"/>
      <c r="B49" s="124"/>
      <c r="C49" s="124"/>
      <c r="D49" s="590" t="str">
        <f t="shared" si="24"/>
        <v xml:space="preserve"> </v>
      </c>
      <c r="E49" s="590">
        <f>IF((+E$7+E$8)=0," ",E50/(+E$7+E$8))</f>
        <v>9.8457499179520833E-2</v>
      </c>
      <c r="F49" s="590">
        <f t="shared" si="24"/>
        <v>1.3151934064970554E-2</v>
      </c>
      <c r="G49" s="590">
        <f t="shared" si="24"/>
        <v>9.9307605307439803E-3</v>
      </c>
      <c r="H49" s="141">
        <f t="shared" si="24"/>
        <v>8.9307864053584721E-3</v>
      </c>
      <c r="I49" s="141">
        <f t="shared" si="24"/>
        <v>3.2819764791685658E-3</v>
      </c>
      <c r="J49" s="141">
        <f t="shared" si="24"/>
        <v>2.3452768729641696E-3</v>
      </c>
      <c r="K49" s="141">
        <f t="shared" si="24"/>
        <v>4.5924225028702642E-3</v>
      </c>
      <c r="L49" s="141">
        <f t="shared" si="24"/>
        <v>2.9145077720207253E-3</v>
      </c>
      <c r="M49" s="141">
        <f t="shared" si="24"/>
        <v>3.5033086804203972E-3</v>
      </c>
      <c r="N49" s="141">
        <f t="shared" si="24"/>
        <v>9.566834972096731E-3</v>
      </c>
      <c r="O49" s="141" t="str">
        <f t="shared" si="24"/>
        <v xml:space="preserve"> </v>
      </c>
      <c r="P49" s="11"/>
      <c r="Q49" s="141">
        <f>IF((+Q$7+Q$8)=0," ",Q50/(+Q$7+Q$8))</f>
        <v>6.0582279851427567E-3</v>
      </c>
      <c r="R49" s="243" t="s">
        <v>11</v>
      </c>
      <c r="S49" s="134"/>
      <c r="T49" s="243" t="s">
        <v>11</v>
      </c>
      <c r="U49" s="558">
        <v>6.3728093467870419E-3</v>
      </c>
      <c r="V49" s="124"/>
      <c r="X49"/>
      <c r="Y49"/>
    </row>
    <row r="50" spans="1:27" s="127" customFormat="1" ht="27" hidden="1" customHeight="1">
      <c r="A50" s="453" t="s">
        <v>165</v>
      </c>
      <c r="B50" s="124"/>
      <c r="C50" s="124"/>
      <c r="D50" s="589">
        <v>180</v>
      </c>
      <c r="E50" s="589">
        <f>D50</f>
        <v>180</v>
      </c>
      <c r="F50" s="589">
        <f t="shared" ref="F50:O50" si="25">E50</f>
        <v>180</v>
      </c>
      <c r="G50" s="589">
        <f t="shared" si="25"/>
        <v>180</v>
      </c>
      <c r="H50" s="145">
        <f t="shared" si="25"/>
        <v>180</v>
      </c>
      <c r="I50" s="145">
        <f t="shared" si="25"/>
        <v>180</v>
      </c>
      <c r="J50" s="145">
        <f t="shared" si="25"/>
        <v>180</v>
      </c>
      <c r="K50" s="145">
        <f t="shared" si="25"/>
        <v>180</v>
      </c>
      <c r="L50" s="145">
        <f t="shared" si="25"/>
        <v>180</v>
      </c>
      <c r="M50" s="145">
        <f t="shared" si="25"/>
        <v>180</v>
      </c>
      <c r="N50" s="145">
        <f t="shared" si="25"/>
        <v>180</v>
      </c>
      <c r="O50" s="145">
        <f t="shared" si="25"/>
        <v>180</v>
      </c>
      <c r="P50" s="11"/>
      <c r="Q50" s="139">
        <f t="shared" ref="Q50" si="26">SUM(D50:O50)</f>
        <v>2160</v>
      </c>
      <c r="R50" s="243" t="s">
        <v>11</v>
      </c>
      <c r="S50" s="134"/>
      <c r="T50" s="243" t="s">
        <v>11</v>
      </c>
      <c r="U50" s="557">
        <v>2400</v>
      </c>
      <c r="V50" s="124"/>
      <c r="X50"/>
      <c r="Y50"/>
    </row>
    <row r="51" spans="1:27" s="127" customFormat="1" ht="27" hidden="1" customHeight="1">
      <c r="A51" s="124"/>
      <c r="B51" s="124"/>
      <c r="C51" s="124"/>
      <c r="D51" s="590" t="str">
        <f>IF((+D$7+D$8)=0," ",D52/(+D$7+D$8))</f>
        <v xml:space="preserve"> </v>
      </c>
      <c r="E51" s="591">
        <f t="shared" ref="E51:F51" si="27">IF((+E$7+E$8)=0," ",E52/(+E$7+E$8))</f>
        <v>-2.0161907887539656E-2</v>
      </c>
      <c r="F51" s="591">
        <f t="shared" si="27"/>
        <v>0</v>
      </c>
      <c r="G51" s="590">
        <f t="shared" si="24"/>
        <v>0</v>
      </c>
      <c r="H51" s="141">
        <f t="shared" si="24"/>
        <v>0</v>
      </c>
      <c r="I51" s="141">
        <f t="shared" si="24"/>
        <v>0</v>
      </c>
      <c r="J51" s="141">
        <f t="shared" si="24"/>
        <v>0</v>
      </c>
      <c r="K51" s="141">
        <f t="shared" si="24"/>
        <v>0</v>
      </c>
      <c r="L51" s="141">
        <f t="shared" si="24"/>
        <v>0</v>
      </c>
      <c r="M51" s="141">
        <f t="shared" si="24"/>
        <v>1.9462826002335538E-4</v>
      </c>
      <c r="N51" s="498">
        <f t="shared" si="24"/>
        <v>0</v>
      </c>
      <c r="O51" s="498" t="str">
        <f t="shared" si="24"/>
        <v xml:space="preserve"> </v>
      </c>
      <c r="P51" s="11"/>
      <c r="Q51" s="141">
        <f>IF((+Q$7+Q$8)=0," ",Q52/(+Q$7+Q$8))</f>
        <v>9.6230463967707399E-5</v>
      </c>
      <c r="R51" s="243" t="s">
        <v>11</v>
      </c>
      <c r="S51" s="134"/>
      <c r="T51" s="243" t="s">
        <v>11</v>
      </c>
      <c r="U51" s="558">
        <v>1.3276686139139671E-3</v>
      </c>
      <c r="V51" s="124"/>
      <c r="X51"/>
      <c r="Y51"/>
    </row>
    <row r="52" spans="1:27" s="44" customFormat="1" ht="35.1" hidden="1" customHeight="1">
      <c r="A52" s="453" t="s">
        <v>166</v>
      </c>
      <c r="B52" s="45"/>
      <c r="C52" s="45"/>
      <c r="D52" s="600">
        <v>61.17</v>
      </c>
      <c r="E52" s="592">
        <v>-36.86</v>
      </c>
      <c r="F52" s="592">
        <v>0</v>
      </c>
      <c r="G52" s="589">
        <v>0</v>
      </c>
      <c r="H52" s="145">
        <v>0</v>
      </c>
      <c r="I52" s="145">
        <v>0</v>
      </c>
      <c r="J52" s="145">
        <v>0</v>
      </c>
      <c r="K52" s="145">
        <v>0</v>
      </c>
      <c r="L52" s="145">
        <f>H52</f>
        <v>0</v>
      </c>
      <c r="M52" s="145">
        <v>10</v>
      </c>
      <c r="N52" s="497">
        <v>0</v>
      </c>
      <c r="O52" s="497">
        <v>0</v>
      </c>
      <c r="P52" s="11"/>
      <c r="Q52" s="139">
        <f t="shared" si="7"/>
        <v>34.31</v>
      </c>
      <c r="R52" s="243" t="s">
        <v>11</v>
      </c>
      <c r="S52" s="85">
        <f>+Q52-U52</f>
        <v>-465.69</v>
      </c>
      <c r="T52" s="243" t="s">
        <v>11</v>
      </c>
      <c r="U52" s="557">
        <v>500</v>
      </c>
      <c r="V52" s="51"/>
      <c r="X52"/>
      <c r="Y52"/>
    </row>
    <row r="53" spans="1:27" s="44" customFormat="1" ht="35.1" customHeight="1">
      <c r="A53" s="453"/>
      <c r="B53" s="45"/>
      <c r="C53" s="45"/>
      <c r="D53" s="598"/>
      <c r="E53" s="598"/>
      <c r="F53" s="598"/>
      <c r="G53" s="598"/>
      <c r="H53" s="598"/>
      <c r="I53" s="598"/>
      <c r="J53" s="598"/>
      <c r="K53" s="598"/>
      <c r="L53" s="598"/>
      <c r="M53" s="598"/>
      <c r="N53" s="599"/>
      <c r="O53" s="599"/>
      <c r="P53" s="11"/>
      <c r="Q53" s="48"/>
      <c r="R53" s="48"/>
      <c r="S53" s="85"/>
      <c r="T53" s="48"/>
      <c r="U53" s="48"/>
      <c r="V53" s="48"/>
      <c r="X53"/>
      <c r="Y53"/>
    </row>
    <row r="54" spans="1:27" s="44" customFormat="1" ht="35.1" customHeight="1">
      <c r="A54" s="453" t="s">
        <v>331</v>
      </c>
      <c r="B54" s="45"/>
      <c r="C54" s="45"/>
      <c r="D54" s="597">
        <f>SUM(D44,D46,D48,D50,D52)</f>
        <v>377.77000000000004</v>
      </c>
      <c r="E54" s="597">
        <f t="shared" ref="E54:U54" si="28">SUM(E44,E46,E48,E50,E52)</f>
        <v>217.95999999999998</v>
      </c>
      <c r="F54" s="597">
        <f t="shared" si="28"/>
        <v>1529.0700000000002</v>
      </c>
      <c r="G54" s="597">
        <f t="shared" si="28"/>
        <v>585.66</v>
      </c>
      <c r="H54" s="601">
        <f t="shared" si="28"/>
        <v>655</v>
      </c>
      <c r="I54" s="601">
        <f>SUM(I44,I46,I48,I50,I52)-0</f>
        <v>1350</v>
      </c>
      <c r="J54" s="601">
        <f t="shared" si="28"/>
        <v>630</v>
      </c>
      <c r="K54" s="601">
        <f t="shared" si="28"/>
        <v>630</v>
      </c>
      <c r="L54" s="601">
        <f t="shared" si="28"/>
        <v>1030</v>
      </c>
      <c r="M54" s="601">
        <f t="shared" si="28"/>
        <v>740</v>
      </c>
      <c r="N54" s="601">
        <f t="shared" si="28"/>
        <v>630</v>
      </c>
      <c r="O54" s="601">
        <f t="shared" si="28"/>
        <v>1630</v>
      </c>
      <c r="P54" s="11"/>
      <c r="Q54" s="601">
        <f t="shared" si="28"/>
        <v>10005.459999999999</v>
      </c>
      <c r="R54" s="243" t="s">
        <v>11</v>
      </c>
      <c r="S54" s="502">
        <f>+Q54-U54</f>
        <v>-3794.5400000000009</v>
      </c>
      <c r="T54" s="243" t="s">
        <v>11</v>
      </c>
      <c r="U54" s="603">
        <f t="shared" si="28"/>
        <v>13800</v>
      </c>
      <c r="V54" s="51"/>
      <c r="X54"/>
      <c r="Y54"/>
    </row>
    <row r="55" spans="1:27" s="127" customFormat="1" ht="27" customHeight="1">
      <c r="A55" s="45"/>
      <c r="B55" s="45"/>
      <c r="C55" s="45"/>
      <c r="D55" s="155"/>
      <c r="E55" s="155"/>
      <c r="F55" s="155"/>
      <c r="G55" s="155"/>
      <c r="H55" s="155"/>
      <c r="I55" s="155"/>
      <c r="J55" s="155"/>
      <c r="K55" s="48"/>
      <c r="L55" s="48"/>
      <c r="M55" s="48"/>
      <c r="N55" s="48"/>
      <c r="O55" s="48"/>
      <c r="P55" s="11"/>
      <c r="Q55" s="132"/>
      <c r="R55" s="243" t="s">
        <v>11</v>
      </c>
      <c r="S55" s="132"/>
      <c r="T55" s="243" t="s">
        <v>11</v>
      </c>
      <c r="U55" s="132"/>
      <c r="V55" s="132"/>
      <c r="X55" s="143"/>
      <c r="Y55" s="132"/>
    </row>
    <row r="56" spans="1:27" s="44" customFormat="1" ht="35.1" customHeight="1" thickBot="1">
      <c r="A56" s="271"/>
      <c r="B56" s="62" t="s">
        <v>63</v>
      </c>
      <c r="C56" s="62"/>
      <c r="D56" s="597">
        <f t="shared" ref="D56:O56" si="29">D24+D42+D54</f>
        <v>20599.969999999998</v>
      </c>
      <c r="E56" s="597">
        <f t="shared" si="29"/>
        <v>21399.200000000001</v>
      </c>
      <c r="F56" s="597">
        <f t="shared" si="29"/>
        <v>29137.5</v>
      </c>
      <c r="G56" s="597">
        <f t="shared" si="29"/>
        <v>25364.51</v>
      </c>
      <c r="H56" s="601">
        <f>H24+H42+H54</f>
        <v>31590.080000000002</v>
      </c>
      <c r="I56" s="601">
        <f t="shared" si="29"/>
        <v>46330</v>
      </c>
      <c r="J56" s="601">
        <f t="shared" si="29"/>
        <v>61820</v>
      </c>
      <c r="K56" s="601">
        <f t="shared" si="29"/>
        <v>35595</v>
      </c>
      <c r="L56" s="601">
        <f t="shared" si="29"/>
        <v>45380</v>
      </c>
      <c r="M56" s="601">
        <f t="shared" si="29"/>
        <v>39415</v>
      </c>
      <c r="N56" s="601">
        <f t="shared" si="29"/>
        <v>21875</v>
      </c>
      <c r="O56" s="601">
        <f t="shared" si="29"/>
        <v>19050</v>
      </c>
      <c r="P56" s="11"/>
      <c r="Q56" s="293">
        <f>Q24+Q42+Q54</f>
        <v>392556.26</v>
      </c>
      <c r="R56" s="243" t="s">
        <v>11</v>
      </c>
      <c r="S56" s="167">
        <f>S24+S42+S54</f>
        <v>3256.2599999999875</v>
      </c>
      <c r="T56" s="243" t="s">
        <v>11</v>
      </c>
      <c r="U56" s="614">
        <f>U24+U42+U54</f>
        <v>389300</v>
      </c>
      <c r="V56" s="124"/>
      <c r="X56" s="143"/>
      <c r="Y56" s="167">
        <f>'TOC R&amp;E Projection 2022'!W51</f>
        <v>405240</v>
      </c>
      <c r="AA56" s="613">
        <f>Q56-U56</f>
        <v>3256.2600000000093</v>
      </c>
    </row>
    <row r="57" spans="1:27" s="51" customFormat="1" ht="27" thickTop="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243" t="s">
        <v>11</v>
      </c>
      <c r="S57" s="134"/>
      <c r="T57" s="243" t="s">
        <v>11</v>
      </c>
      <c r="U57" s="56"/>
      <c r="V57" s="124"/>
      <c r="X57" s="143"/>
      <c r="Y57" s="56"/>
    </row>
    <row r="58" spans="1:27" s="85" customFormat="1" ht="50.1" customHeight="1" thickBot="1">
      <c r="A58" s="272"/>
      <c r="B58" s="273" t="s">
        <v>65</v>
      </c>
      <c r="C58" s="274"/>
      <c r="D58" s="385">
        <f t="shared" ref="D58:O58" si="30">+D13-D56</f>
        <v>-20599.969999999998</v>
      </c>
      <c r="E58" s="385">
        <f t="shared" si="30"/>
        <v>-19662.41</v>
      </c>
      <c r="F58" s="385">
        <f t="shared" si="30"/>
        <v>-15843.859999999999</v>
      </c>
      <c r="G58" s="385">
        <f t="shared" si="30"/>
        <v>-7239.0099999999984</v>
      </c>
      <c r="H58" s="165">
        <f t="shared" si="30"/>
        <v>3464.9199999999983</v>
      </c>
      <c r="I58" s="165">
        <f t="shared" si="30"/>
        <v>10715</v>
      </c>
      <c r="J58" s="165">
        <f t="shared" si="30"/>
        <v>16330</v>
      </c>
      <c r="K58" s="165">
        <f t="shared" si="30"/>
        <v>3600</v>
      </c>
      <c r="L58" s="165">
        <f t="shared" si="30"/>
        <v>16380</v>
      </c>
      <c r="M58" s="165">
        <f t="shared" si="30"/>
        <v>11965</v>
      </c>
      <c r="N58" s="165">
        <f t="shared" si="30"/>
        <v>-3060</v>
      </c>
      <c r="O58" s="165">
        <f t="shared" si="30"/>
        <v>-19050</v>
      </c>
      <c r="P58" s="11"/>
      <c r="Q58" s="234">
        <f>+Q13-Q56</f>
        <v>-18000.329999999958</v>
      </c>
      <c r="R58" s="243" t="s">
        <v>11</v>
      </c>
      <c r="S58" s="134">
        <f>Q58-U58</f>
        <v>-18000.329999999958</v>
      </c>
      <c r="T58" s="243" t="s">
        <v>11</v>
      </c>
      <c r="U58" s="614">
        <f>+U13-U56</f>
        <v>0</v>
      </c>
      <c r="V58" s="124"/>
      <c r="X58" s="143"/>
      <c r="Y58" s="506">
        <f>+Y13-Y56</f>
        <v>-167660</v>
      </c>
    </row>
    <row r="59" spans="1:27" s="15" customFormat="1" ht="27" thickTop="1">
      <c r="A59" s="172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/>
      <c r="T59" s="172"/>
      <c r="U59" s="162"/>
      <c r="V59" s="124"/>
      <c r="X59"/>
      <c r="Y59"/>
      <c r="Z59"/>
      <c r="AA59"/>
    </row>
    <row r="60" spans="1:27" s="85" customFormat="1" ht="49.5" customHeight="1" thickBot="1">
      <c r="A60" s="275"/>
      <c r="B60" s="276" t="s">
        <v>66</v>
      </c>
      <c r="C60" s="277"/>
      <c r="D60" s="388"/>
      <c r="E60" s="389">
        <f>+D58+E58</f>
        <v>-40262.379999999997</v>
      </c>
      <c r="F60" s="389">
        <f>+E60+F58</f>
        <v>-56106.239999999998</v>
      </c>
      <c r="G60" s="389">
        <f t="shared" ref="G60:N60" si="31">+F60+G58</f>
        <v>-63345.25</v>
      </c>
      <c r="H60" s="175">
        <f>+G60+H58</f>
        <v>-59880.33</v>
      </c>
      <c r="I60" s="175">
        <f t="shared" si="31"/>
        <v>-49165.33</v>
      </c>
      <c r="J60" s="175">
        <f t="shared" si="31"/>
        <v>-32835.33</v>
      </c>
      <c r="K60" s="175">
        <f t="shared" si="31"/>
        <v>-29235.33</v>
      </c>
      <c r="L60" s="175">
        <f t="shared" si="31"/>
        <v>-12855.330000000002</v>
      </c>
      <c r="M60" s="175">
        <f>+L60+M58</f>
        <v>-890.33000000000175</v>
      </c>
      <c r="N60" s="175">
        <f t="shared" si="31"/>
        <v>-3950.3300000000017</v>
      </c>
      <c r="O60" s="234">
        <f>+N60+O58</f>
        <v>-23000.33</v>
      </c>
      <c r="P60" s="11"/>
      <c r="Q60" s="177"/>
      <c r="R60" s="177"/>
      <c r="S60"/>
      <c r="T60" s="177"/>
      <c r="U60" s="177"/>
      <c r="V60" s="177"/>
      <c r="X60"/>
      <c r="Y60"/>
      <c r="Z60"/>
      <c r="AA60"/>
    </row>
    <row r="61" spans="1:27" s="85" customFormat="1" ht="49.15" customHeight="1" thickTop="1">
      <c r="A61" s="171"/>
      <c r="B61" s="171"/>
      <c r="C61" s="171"/>
      <c r="D61" s="171"/>
      <c r="E61" s="175"/>
      <c r="F61" s="175"/>
      <c r="G61" s="175"/>
      <c r="H61" s="175"/>
      <c r="I61" s="175"/>
      <c r="J61" s="175"/>
      <c r="K61" s="171"/>
      <c r="L61" s="171"/>
      <c r="M61" s="171"/>
      <c r="N61" s="171"/>
      <c r="O61" s="171"/>
      <c r="P61" s="11"/>
      <c r="Q61" s="171"/>
      <c r="R61" s="171"/>
      <c r="S61"/>
      <c r="T61" s="171"/>
      <c r="U61" s="171"/>
      <c r="V61" s="171"/>
      <c r="X61"/>
      <c r="Y61"/>
      <c r="Z61"/>
      <c r="AA61"/>
    </row>
    <row r="62" spans="1:27" s="15" customFormat="1" ht="27" customHeight="1">
      <c r="A62" s="616"/>
      <c r="B62" s="617"/>
      <c r="C62" s="618" t="s">
        <v>333</v>
      </c>
      <c r="D62" s="597">
        <v>20000</v>
      </c>
      <c r="E62" s="606">
        <v>0</v>
      </c>
      <c r="F62" s="606">
        <v>0</v>
      </c>
      <c r="G62" s="606">
        <v>0</v>
      </c>
      <c r="H62" s="607">
        <v>0</v>
      </c>
      <c r="I62" s="607">
        <v>0</v>
      </c>
      <c r="J62" s="607">
        <v>0</v>
      </c>
      <c r="K62" s="607">
        <v>0</v>
      </c>
      <c r="L62" s="607">
        <v>0</v>
      </c>
      <c r="M62" s="607">
        <v>0</v>
      </c>
      <c r="N62" s="607">
        <v>0</v>
      </c>
      <c r="O62" s="607">
        <v>0</v>
      </c>
      <c r="P62" s="11"/>
      <c r="Q62" s="619">
        <f>SUM(D62:O62)</f>
        <v>20000</v>
      </c>
      <c r="R62" s="132"/>
      <c r="S62"/>
      <c r="T62" s="132"/>
      <c r="U62" s="51"/>
      <c r="V62" s="51"/>
      <c r="X62"/>
      <c r="Y62"/>
      <c r="Z62"/>
      <c r="AA62"/>
    </row>
    <row r="63" spans="1:27" s="15" customFormat="1" ht="27" customHeight="1">
      <c r="A63" s="173"/>
      <c r="E63" s="175"/>
      <c r="F63" s="175"/>
      <c r="G63" s="175"/>
      <c r="H63" s="175"/>
      <c r="I63" s="175"/>
      <c r="J63" s="175"/>
      <c r="K63" s="175"/>
      <c r="L63" s="175"/>
      <c r="M63" s="175"/>
      <c r="N63" s="173"/>
      <c r="O63" s="173"/>
      <c r="P63" s="11"/>
      <c r="Q63" s="173"/>
      <c r="R63" s="132"/>
      <c r="S63" s="51"/>
      <c r="T63" s="132"/>
      <c r="U63" s="51"/>
      <c r="V63" s="51"/>
      <c r="Y63" s="51"/>
    </row>
    <row r="64" spans="1:27" s="85" customFormat="1" ht="67.900000000000006" customHeight="1" thickBot="1">
      <c r="A64" s="749" t="s">
        <v>335</v>
      </c>
      <c r="B64" s="749"/>
      <c r="C64" s="749"/>
      <c r="D64" s="608">
        <f>SUM(D58:D62)</f>
        <v>-599.96999999999753</v>
      </c>
      <c r="E64" s="608">
        <f>E58+E62</f>
        <v>-19662.41</v>
      </c>
      <c r="F64" s="608">
        <f t="shared" ref="F64:O64" si="32">F58+F62</f>
        <v>-15843.859999999999</v>
      </c>
      <c r="G64" s="608">
        <f t="shared" si="32"/>
        <v>-7239.0099999999984</v>
      </c>
      <c r="H64" s="611">
        <f t="shared" si="32"/>
        <v>3464.9199999999983</v>
      </c>
      <c r="I64" s="611">
        <f t="shared" si="32"/>
        <v>10715</v>
      </c>
      <c r="J64" s="611">
        <f t="shared" si="32"/>
        <v>16330</v>
      </c>
      <c r="K64" s="611">
        <f t="shared" si="32"/>
        <v>3600</v>
      </c>
      <c r="L64" s="611">
        <f t="shared" si="32"/>
        <v>16380</v>
      </c>
      <c r="M64" s="611">
        <f t="shared" si="32"/>
        <v>11965</v>
      </c>
      <c r="N64" s="611">
        <f t="shared" si="32"/>
        <v>-3060</v>
      </c>
      <c r="O64" s="611">
        <f t="shared" si="32"/>
        <v>-19050</v>
      </c>
      <c r="P64" s="11"/>
      <c r="Q64" s="615">
        <f>SUM(Q58,Q62)</f>
        <v>1999.6700000000419</v>
      </c>
      <c r="R64" s="243" t="s">
        <v>11</v>
      </c>
      <c r="S64" s="134"/>
      <c r="T64" s="243" t="s">
        <v>11</v>
      </c>
      <c r="V64" s="124"/>
      <c r="X64" s="143"/>
      <c r="Y64" s="506">
        <f>+Y19-Y62</f>
        <v>96580.95</v>
      </c>
    </row>
    <row r="65" spans="1:25" s="15" customFormat="1" ht="27" customHeight="1" thickTop="1">
      <c r="A65" s="173"/>
      <c r="E65" s="175"/>
      <c r="F65" s="175"/>
      <c r="G65" s="175"/>
      <c r="H65" s="175"/>
      <c r="I65" s="175"/>
      <c r="J65" s="175"/>
      <c r="K65" s="175"/>
      <c r="L65" s="175"/>
      <c r="M65" s="175"/>
      <c r="N65" s="173"/>
      <c r="O65" s="173"/>
      <c r="P65" s="11"/>
      <c r="Q65" s="173"/>
      <c r="R65" s="132"/>
      <c r="S65" s="51"/>
      <c r="T65" s="132"/>
      <c r="U65" s="51"/>
      <c r="V65" s="51"/>
      <c r="Y65" s="51"/>
    </row>
    <row r="66" spans="1:25" s="15" customFormat="1" ht="64.150000000000006" customHeight="1" thickBot="1">
      <c r="A66" s="749" t="s">
        <v>334</v>
      </c>
      <c r="B66" s="749"/>
      <c r="C66" s="749"/>
      <c r="D66" s="385">
        <f>SUM(D64)</f>
        <v>-599.96999999999753</v>
      </c>
      <c r="E66" s="609">
        <f>D66+E64</f>
        <v>-20262.379999999997</v>
      </c>
      <c r="F66" s="609">
        <f t="shared" ref="F66:N66" si="33">E66+F64</f>
        <v>-36106.239999999998</v>
      </c>
      <c r="G66" s="609">
        <f t="shared" si="33"/>
        <v>-43345.25</v>
      </c>
      <c r="H66" s="610">
        <f t="shared" si="33"/>
        <v>-39880.33</v>
      </c>
      <c r="I66" s="610">
        <f t="shared" si="33"/>
        <v>-29165.33</v>
      </c>
      <c r="J66" s="610">
        <f t="shared" si="33"/>
        <v>-12835.330000000002</v>
      </c>
      <c r="K66" s="610">
        <f t="shared" si="33"/>
        <v>-9235.3300000000017</v>
      </c>
      <c r="L66" s="610">
        <f t="shared" si="33"/>
        <v>7144.6699999999983</v>
      </c>
      <c r="M66" s="610">
        <f t="shared" si="33"/>
        <v>19109.669999999998</v>
      </c>
      <c r="N66" s="610">
        <f t="shared" si="33"/>
        <v>16049.669999999998</v>
      </c>
      <c r="O66" s="615">
        <f>+N66+O64</f>
        <v>-3000.3300000000017</v>
      </c>
      <c r="P66" s="11"/>
      <c r="Q66" s="612">
        <f>SUM(D64:O64)</f>
        <v>-3000.3300000000017</v>
      </c>
      <c r="R66" s="177"/>
      <c r="S66" s="51"/>
      <c r="T66" s="177"/>
      <c r="U66" s="177"/>
      <c r="V66" s="51"/>
      <c r="Y66" s="51"/>
    </row>
    <row r="67" spans="1:25" s="15" customFormat="1" ht="25.15" customHeight="1" thickTop="1">
      <c r="A67" s="171"/>
      <c r="B67" s="171"/>
      <c r="C67" s="171"/>
      <c r="D67" s="171"/>
      <c r="E67" s="171"/>
      <c r="F67" s="171"/>
      <c r="G67" s="175"/>
      <c r="H67" s="175"/>
      <c r="I67" s="175"/>
      <c r="J67" s="175"/>
      <c r="K67" s="175"/>
      <c r="L67" s="175"/>
      <c r="M67" s="175"/>
      <c r="N67" s="173"/>
      <c r="O67" s="173"/>
      <c r="P67" s="11"/>
      <c r="Q67" s="173"/>
      <c r="R67" s="132"/>
      <c r="S67" s="51"/>
      <c r="T67" s="132"/>
      <c r="U67" s="51"/>
      <c r="V67" s="51"/>
      <c r="Y67" s="51"/>
    </row>
    <row r="68" spans="1:25" s="15" customFormat="1">
      <c r="A68" s="173"/>
      <c r="B68" s="173"/>
      <c r="C68" s="173"/>
      <c r="D68" s="171"/>
      <c r="E68" s="171"/>
      <c r="F68" s="171"/>
      <c r="G68" s="175"/>
      <c r="H68" s="175"/>
      <c r="I68" s="175"/>
      <c r="J68" s="175"/>
      <c r="K68" s="175"/>
      <c r="L68" s="175"/>
      <c r="M68" s="175"/>
      <c r="N68" s="173"/>
      <c r="O68" s="173"/>
      <c r="P68" s="11"/>
      <c r="Q68" s="173"/>
      <c r="R68" s="132"/>
      <c r="S68" s="51"/>
      <c r="T68" s="132"/>
      <c r="U68" s="51"/>
      <c r="V68" s="51"/>
      <c r="Y68" s="51"/>
    </row>
    <row r="69" spans="1:25" s="15" customFormat="1">
      <c r="A69" s="173"/>
      <c r="B69" s="173"/>
      <c r="C69" s="173"/>
      <c r="D69" s="171"/>
      <c r="E69" s="171"/>
      <c r="F69" s="171"/>
      <c r="G69" s="175"/>
      <c r="H69" s="175"/>
      <c r="I69" s="175"/>
      <c r="J69" s="175"/>
      <c r="K69" s="175"/>
      <c r="L69" s="175"/>
      <c r="M69" s="175"/>
      <c r="N69" s="173"/>
      <c r="O69" s="173"/>
      <c r="P69" s="11"/>
      <c r="Q69" s="173"/>
      <c r="R69" s="132"/>
      <c r="S69" s="51"/>
      <c r="T69" s="132"/>
      <c r="U69" s="51"/>
      <c r="V69" s="51"/>
      <c r="Y69" s="51"/>
    </row>
    <row r="70" spans="1:25" s="15" customFormat="1">
      <c r="A70" s="173"/>
      <c r="B70" s="173"/>
      <c r="C70" s="173"/>
      <c r="D70" s="171"/>
      <c r="E70" s="171"/>
      <c r="F70" s="171"/>
      <c r="G70" s="175"/>
      <c r="H70" s="175"/>
      <c r="I70" s="175"/>
      <c r="J70" s="175"/>
      <c r="K70" s="175"/>
      <c r="L70" s="175"/>
      <c r="M70" s="175"/>
      <c r="N70" s="173"/>
      <c r="O70" s="173"/>
      <c r="P70" s="11"/>
      <c r="Q70" s="173"/>
      <c r="R70" s="132"/>
      <c r="S70" s="51"/>
      <c r="T70" s="132"/>
      <c r="U70" s="51"/>
      <c r="V70" s="51"/>
      <c r="Y70" s="51"/>
    </row>
    <row r="71" spans="1:25" s="15" customFormat="1" ht="28.5" customHeight="1">
      <c r="A71" s="173"/>
      <c r="B71" s="173"/>
      <c r="C71" s="173"/>
      <c r="D71" s="171"/>
      <c r="E71" s="171"/>
      <c r="F71" s="171"/>
      <c r="G71" s="175"/>
      <c r="H71" s="175"/>
      <c r="I71" s="175"/>
      <c r="J71" s="175"/>
      <c r="K71" s="175"/>
      <c r="L71" s="175"/>
      <c r="M71" s="175"/>
      <c r="N71" s="173"/>
      <c r="O71" s="173"/>
      <c r="P71" s="173"/>
      <c r="Q71" s="173"/>
      <c r="R71" s="132"/>
      <c r="S71" s="51"/>
      <c r="T71" s="132"/>
      <c r="U71" s="51"/>
      <c r="V71" s="51"/>
      <c r="Y71" s="51"/>
    </row>
    <row r="72" spans="1:25" s="15" customFormat="1" ht="28.5" customHeight="1">
      <c r="A72" s="173"/>
      <c r="B72" s="173"/>
      <c r="C72" s="173"/>
      <c r="D72" s="171"/>
      <c r="E72" s="171"/>
      <c r="F72" s="171"/>
      <c r="G72" s="175"/>
      <c r="H72" s="175"/>
      <c r="I72" s="175"/>
      <c r="J72" s="175"/>
      <c r="K72" s="175"/>
      <c r="L72" s="175"/>
      <c r="M72" s="175"/>
      <c r="N72" s="173"/>
      <c r="O72" s="173"/>
      <c r="P72" s="173"/>
      <c r="Q72" s="173"/>
      <c r="R72" s="132"/>
      <c r="S72" s="51"/>
      <c r="T72" s="132"/>
      <c r="U72" s="51"/>
      <c r="V72" s="51"/>
      <c r="Y72" s="51"/>
    </row>
    <row r="73" spans="1:25" s="15" customFormat="1" ht="28.5" customHeight="1">
      <c r="A73" s="182"/>
      <c r="B73" s="182"/>
      <c r="C73" s="182"/>
      <c r="D73" s="171"/>
      <c r="E73" s="171"/>
      <c r="F73" s="171"/>
      <c r="G73" s="175"/>
      <c r="H73" s="175"/>
      <c r="I73" s="175"/>
      <c r="J73" s="175"/>
      <c r="K73" s="175"/>
      <c r="L73" s="175"/>
      <c r="M73" s="175"/>
      <c r="N73" s="173"/>
      <c r="O73" s="173"/>
      <c r="P73" s="173"/>
      <c r="Q73" s="173"/>
      <c r="R73" s="132"/>
      <c r="S73" s="51"/>
      <c r="T73" s="132"/>
      <c r="U73" s="51"/>
      <c r="V73" s="51"/>
      <c r="Y73" s="51"/>
    </row>
    <row r="74" spans="1:25" s="15" customFormat="1" ht="21" customHeight="1">
      <c r="A74" s="768" t="s">
        <v>11</v>
      </c>
      <c r="B74" s="768"/>
      <c r="C74" s="579"/>
      <c r="D74" s="171"/>
      <c r="E74" s="171"/>
      <c r="F74" s="171"/>
      <c r="G74" s="175"/>
      <c r="H74" s="175"/>
      <c r="I74" s="175"/>
      <c r="J74" s="175"/>
      <c r="K74" s="175"/>
      <c r="L74" s="175"/>
      <c r="M74" s="175"/>
      <c r="N74" s="173"/>
      <c r="O74" s="173"/>
      <c r="P74" s="173"/>
      <c r="Q74" s="173"/>
      <c r="R74" s="132"/>
      <c r="S74" s="51"/>
      <c r="T74" s="132"/>
      <c r="U74" s="51"/>
      <c r="V74" s="51"/>
      <c r="Y74" s="51"/>
    </row>
    <row r="75" spans="1:25" s="15" customFormat="1" ht="21" customHeight="1">
      <c r="A75" s="176"/>
      <c r="B75" s="176"/>
      <c r="C75" s="176"/>
      <c r="D75" s="171"/>
      <c r="E75" s="171"/>
      <c r="F75" s="171"/>
      <c r="G75" s="175"/>
      <c r="H75" s="175"/>
      <c r="I75" s="175"/>
      <c r="J75" s="175"/>
      <c r="K75" s="175"/>
      <c r="L75" s="175"/>
      <c r="M75" s="175"/>
      <c r="N75" s="171"/>
      <c r="O75" s="171"/>
      <c r="P75" s="171"/>
      <c r="Q75" s="171"/>
      <c r="R75" s="132"/>
      <c r="S75" s="51"/>
      <c r="T75" s="132"/>
      <c r="U75" s="51"/>
      <c r="V75" s="51"/>
      <c r="Y75" s="51"/>
    </row>
    <row r="76" spans="1:25" s="15" customFormat="1" ht="21" customHeight="1">
      <c r="A76" s="176"/>
      <c r="B76" s="176"/>
      <c r="C76" s="176"/>
      <c r="D76" s="171"/>
      <c r="E76" s="171"/>
      <c r="F76" s="171"/>
      <c r="G76" s="175"/>
      <c r="H76" s="175"/>
      <c r="I76" s="175"/>
      <c r="J76" s="175"/>
      <c r="K76" s="175"/>
      <c r="L76" s="175"/>
      <c r="M76" s="175"/>
      <c r="N76" s="171"/>
      <c r="O76" s="171"/>
      <c r="P76" s="171"/>
      <c r="Q76" s="171"/>
      <c r="R76" s="132"/>
      <c r="S76" s="51"/>
      <c r="T76" s="132"/>
      <c r="U76" s="51"/>
      <c r="V76" s="51"/>
      <c r="Y76" s="51"/>
    </row>
    <row r="77" spans="1:25" s="15" customFormat="1" ht="27" customHeight="1">
      <c r="A77" s="176"/>
      <c r="B77" s="176"/>
      <c r="C77" s="176"/>
      <c r="D77" s="171"/>
      <c r="E77" s="171"/>
      <c r="F77" s="171"/>
      <c r="G77" s="175"/>
      <c r="H77" s="175"/>
      <c r="I77" s="175"/>
      <c r="J77" s="175"/>
      <c r="K77" s="175"/>
      <c r="L77" s="175"/>
      <c r="M77" s="175"/>
      <c r="N77" s="171"/>
      <c r="O77" s="171"/>
      <c r="P77" s="171"/>
      <c r="Q77" s="171"/>
      <c r="R77" s="171"/>
      <c r="S77" s="51"/>
      <c r="T77" s="171"/>
      <c r="U77" s="51"/>
      <c r="V77" s="51"/>
      <c r="Y77" s="51"/>
    </row>
    <row r="78" spans="1:25" s="15" customFormat="1" ht="21" customHeight="1">
      <c r="A78" s="176"/>
      <c r="B78" s="176"/>
      <c r="C78" s="176"/>
      <c r="D78" s="171"/>
      <c r="E78" s="171"/>
      <c r="F78" s="171"/>
      <c r="G78" s="175"/>
      <c r="H78" s="175"/>
      <c r="I78" s="175"/>
      <c r="J78" s="175"/>
      <c r="K78" s="175"/>
      <c r="L78" s="175"/>
      <c r="M78" s="175"/>
      <c r="N78" s="171"/>
      <c r="O78" s="171"/>
      <c r="P78" s="171"/>
      <c r="Q78" s="171"/>
      <c r="R78" s="171"/>
      <c r="S78" s="51"/>
      <c r="T78" s="171"/>
      <c r="U78" s="51"/>
      <c r="V78" s="51"/>
      <c r="Y78" s="51"/>
    </row>
    <row r="79" spans="1:25" s="15" customFormat="1" ht="21" customHeight="1">
      <c r="A79" s="176"/>
      <c r="B79" s="176"/>
      <c r="C79" s="176"/>
      <c r="D79" s="171"/>
      <c r="E79" s="171"/>
      <c r="F79" s="171"/>
      <c r="G79" s="175"/>
      <c r="H79" s="175"/>
      <c r="I79" s="175"/>
      <c r="J79" s="175"/>
      <c r="K79" s="175"/>
      <c r="L79" s="175"/>
      <c r="M79" s="175"/>
      <c r="N79" s="171"/>
      <c r="O79" s="171"/>
      <c r="P79" s="171"/>
      <c r="Q79" s="171"/>
      <c r="R79" s="171"/>
      <c r="S79" s="51"/>
      <c r="T79" s="171"/>
      <c r="U79" s="51"/>
      <c r="V79" s="51"/>
      <c r="Y79" s="51"/>
    </row>
    <row r="80" spans="1:25" s="15" customFormat="1" ht="21" customHeight="1">
      <c r="A80" s="176"/>
      <c r="B80" s="176"/>
      <c r="C80" s="176"/>
      <c r="D80" s="171"/>
      <c r="E80" s="171"/>
      <c r="F80" s="171"/>
      <c r="G80" s="175"/>
      <c r="H80" s="175"/>
      <c r="I80" s="175"/>
      <c r="J80" s="175"/>
      <c r="K80" s="175"/>
      <c r="L80" s="175"/>
      <c r="M80" s="175"/>
      <c r="N80" s="171"/>
      <c r="O80" s="171"/>
      <c r="P80" s="171"/>
      <c r="Q80" s="171"/>
      <c r="R80" s="171"/>
      <c r="S80" s="51"/>
      <c r="T80" s="171"/>
      <c r="U80" s="51"/>
      <c r="V80" s="51"/>
      <c r="Y80" s="51"/>
    </row>
    <row r="81" spans="1:25" s="15" customFormat="1" ht="21" customHeight="1">
      <c r="A81" s="176"/>
      <c r="B81" s="176"/>
      <c r="C81" s="176"/>
      <c r="D81" s="171"/>
      <c r="E81" s="171"/>
      <c r="F81" s="171"/>
      <c r="G81" s="175"/>
      <c r="H81" s="175"/>
      <c r="I81" s="175"/>
      <c r="J81" s="175"/>
      <c r="K81" s="175"/>
      <c r="L81" s="175"/>
      <c r="M81" s="175"/>
      <c r="N81" s="171"/>
      <c r="O81" s="171"/>
      <c r="P81" s="171"/>
      <c r="Q81" s="171"/>
      <c r="R81" s="171"/>
      <c r="S81" s="51"/>
      <c r="T81" s="171"/>
      <c r="U81" s="51"/>
      <c r="V81" s="51"/>
      <c r="Y81" s="51"/>
    </row>
    <row r="82" spans="1:25" ht="21" customHeight="1">
      <c r="A82" s="15"/>
      <c r="B82" s="15"/>
      <c r="C82" s="15"/>
      <c r="D82" s="171"/>
      <c r="E82" s="171"/>
      <c r="F82" s="171"/>
      <c r="G82" s="175"/>
      <c r="H82" s="175"/>
      <c r="I82" s="175"/>
      <c r="J82" s="175"/>
      <c r="K82" s="175"/>
      <c r="L82" s="175"/>
      <c r="M82" s="175"/>
      <c r="N82" s="171"/>
      <c r="O82" s="171"/>
      <c r="P82" s="171"/>
      <c r="Q82" s="171"/>
      <c r="R82" s="171"/>
      <c r="T82" s="171"/>
    </row>
    <row r="83" spans="1:25" ht="21" customHeight="1">
      <c r="A83" s="15"/>
      <c r="B83" s="15"/>
      <c r="C83" s="15"/>
      <c r="D83" s="171"/>
      <c r="E83" s="171"/>
      <c r="F83" s="171"/>
      <c r="G83" s="175"/>
      <c r="H83" s="175"/>
      <c r="I83" s="175"/>
      <c r="J83" s="175"/>
      <c r="K83" s="175"/>
      <c r="L83" s="175"/>
      <c r="M83" s="175"/>
      <c r="N83" s="171"/>
      <c r="O83" s="171"/>
      <c r="P83" s="171"/>
      <c r="Q83" s="171"/>
      <c r="R83" s="171"/>
      <c r="T83" s="171"/>
    </row>
    <row r="84" spans="1:25" ht="21" customHeight="1">
      <c r="A84" s="15"/>
      <c r="B84" s="15"/>
      <c r="C84" s="15"/>
      <c r="G84" s="175"/>
      <c r="H84" s="175"/>
      <c r="I84" s="175"/>
      <c r="J84" s="175"/>
      <c r="K84" s="175"/>
      <c r="L84" s="175"/>
      <c r="M84" s="175"/>
    </row>
    <row r="85" spans="1:25" ht="15.75" customHeight="1">
      <c r="A85" s="15"/>
      <c r="B85" s="15"/>
      <c r="C85" s="15"/>
      <c r="G85" s="175"/>
      <c r="H85" s="175"/>
      <c r="I85" s="175"/>
      <c r="J85" s="175"/>
      <c r="K85" s="175"/>
      <c r="L85" s="175"/>
      <c r="M85" s="175"/>
    </row>
    <row r="86" spans="1:25">
      <c r="A86" s="15"/>
      <c r="B86" s="15"/>
      <c r="C86" s="15"/>
      <c r="G86" s="175"/>
      <c r="H86" s="175"/>
      <c r="I86" s="175"/>
      <c r="J86" s="175"/>
      <c r="K86" s="175"/>
      <c r="L86" s="175"/>
      <c r="M86" s="175"/>
    </row>
    <row r="87" spans="1:25">
      <c r="A87" s="15"/>
      <c r="B87" s="15"/>
      <c r="C87" s="15"/>
      <c r="G87" s="175"/>
      <c r="H87" s="175"/>
      <c r="I87" s="175"/>
      <c r="J87" s="175"/>
      <c r="K87" s="175"/>
      <c r="L87" s="175"/>
      <c r="M87" s="175"/>
    </row>
    <row r="88" spans="1:25">
      <c r="A88" s="15"/>
      <c r="B88" s="15"/>
      <c r="C88" s="15"/>
      <c r="G88" s="175"/>
      <c r="H88" s="175"/>
      <c r="I88" s="175"/>
      <c r="J88" s="175"/>
      <c r="K88" s="175"/>
      <c r="L88" s="175"/>
      <c r="M88" s="175"/>
    </row>
    <row r="89" spans="1:25">
      <c r="A89" s="15"/>
      <c r="B89" s="15"/>
      <c r="C89" s="15"/>
      <c r="G89" s="175"/>
      <c r="H89" s="175"/>
      <c r="I89" s="175"/>
      <c r="J89" s="175"/>
      <c r="K89" s="175"/>
      <c r="L89" s="175"/>
      <c r="M89" s="175"/>
    </row>
    <row r="90" spans="1:25">
      <c r="A90" s="15"/>
      <c r="B90" s="15"/>
      <c r="C90" s="15"/>
      <c r="G90" s="175"/>
      <c r="H90" s="175"/>
      <c r="I90" s="175"/>
      <c r="J90" s="175"/>
      <c r="K90" s="175"/>
      <c r="L90" s="175"/>
      <c r="M90" s="175"/>
    </row>
    <row r="91" spans="1:25">
      <c r="A91" s="15"/>
      <c r="B91" s="15"/>
      <c r="C91" s="15"/>
      <c r="G91" s="175"/>
      <c r="H91" s="175"/>
      <c r="I91" s="175"/>
      <c r="J91" s="175"/>
      <c r="K91" s="175"/>
      <c r="L91" s="175"/>
      <c r="M91" s="175"/>
    </row>
    <row r="92" spans="1:25">
      <c r="G92" s="175"/>
      <c r="H92" s="175"/>
      <c r="I92" s="175"/>
      <c r="J92" s="175"/>
      <c r="K92" s="175"/>
      <c r="L92" s="175"/>
      <c r="M92" s="175"/>
    </row>
    <row r="93" spans="1:25">
      <c r="G93" s="175"/>
      <c r="H93" s="175"/>
      <c r="I93" s="175"/>
      <c r="J93" s="175"/>
      <c r="K93" s="175"/>
      <c r="L93" s="175"/>
      <c r="M93" s="175"/>
    </row>
    <row r="94" spans="1:25">
      <c r="G94" s="175"/>
      <c r="H94" s="175"/>
      <c r="I94" s="175"/>
      <c r="J94" s="175"/>
      <c r="K94" s="175"/>
      <c r="L94" s="175"/>
      <c r="M94" s="175"/>
    </row>
    <row r="95" spans="1:25">
      <c r="G95" s="175"/>
      <c r="H95" s="175"/>
      <c r="I95" s="175"/>
      <c r="J95" s="175"/>
      <c r="K95" s="175"/>
      <c r="L95" s="175"/>
      <c r="M95" s="175"/>
    </row>
  </sheetData>
  <mergeCells count="12">
    <mergeCell ref="D1:Q1"/>
    <mergeCell ref="A2:B2"/>
    <mergeCell ref="D2:Q2"/>
    <mergeCell ref="A3:C4"/>
    <mergeCell ref="D3:Q3"/>
    <mergeCell ref="D4:G4"/>
    <mergeCell ref="Q4:Q5"/>
    <mergeCell ref="U4:U5"/>
    <mergeCell ref="Y4:Y5"/>
    <mergeCell ref="A74:B74"/>
    <mergeCell ref="A66:C66"/>
    <mergeCell ref="A64:C64"/>
  </mergeCells>
  <phoneticPr fontId="171" type="noConversion"/>
  <hyperlinks>
    <hyperlink ref="C62" r:id="rId1" display="https://5202729.app.netsuite.com/app/reporting/reportrunner.nl?fromreport=667&amp;regtx,tranline,kacct,x,alltranline5,IN,x,x=1166&amp;cr=293" xr:uid="{59BA5103-F225-4360-ABD8-664701221A70}"/>
  </hyperlinks>
  <printOptions horizontalCentered="1"/>
  <pageMargins left="0.25" right="0.25" top="0.75" bottom="0.25" header="0.25" footer="0.1"/>
  <pageSetup scale="33" orientation="landscape" horizontalDpi="300" verticalDpi="300" r:id="rId2"/>
  <headerFooter alignWithMargins="0">
    <oddFooter>&amp;R&amp;"Arial,Regular"&amp;10Date: &amp;D</oddFooter>
  </headerFooter>
  <rowBreaks count="1" manualBreakCount="1">
    <brk id="58" max="16" man="1"/>
  </rowBreaks>
  <colBreaks count="1" manualBreakCount="1">
    <brk id="9" max="1048575" man="1"/>
  </colBreak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C4BC4-896C-4E3B-B27E-0C5DF2EB5905}">
  <sheetPr syncVertical="1" syncRef="D10" transitionEvaluation="1">
    <tabColor rgb="FFFF66FF"/>
    <pageSetUpPr fitToPage="1"/>
  </sheetPr>
  <dimension ref="A1:Y89"/>
  <sheetViews>
    <sheetView zoomScale="43" zoomScaleNormal="43" workbookViewId="0">
      <pane xSplit="3" ySplit="6" topLeftCell="D10" activePane="bottomRight" state="frozen"/>
      <selection activeCell="H57" sqref="H57"/>
      <selection pane="topRight" activeCell="H57" sqref="H57"/>
      <selection pane="bottomLeft" activeCell="H57" sqref="H57"/>
      <selection pane="bottomRight" activeCell="H57" sqref="H57"/>
    </sheetView>
  </sheetViews>
  <sheetFormatPr defaultColWidth="7.77734375" defaultRowHeight="26.25"/>
  <cols>
    <col min="1" max="1" width="39.88671875" style="22" customWidth="1"/>
    <col min="2" max="2" width="19" style="22" customWidth="1"/>
    <col min="3" max="3" width="14.21875" style="22" customWidth="1"/>
    <col min="4" max="15" width="18.21875" style="22" customWidth="1"/>
    <col min="16" max="16" width="4" style="15" customWidth="1"/>
    <col min="17" max="17" width="21.5546875" style="22" customWidth="1"/>
    <col min="18" max="18" width="4.21875" style="22" customWidth="1"/>
    <col min="19" max="19" width="23.77734375" style="44" customWidth="1"/>
    <col min="20" max="20" width="2.77734375" style="44" customWidth="1"/>
    <col min="21" max="21" width="15.77734375" style="44" customWidth="1"/>
    <col min="22" max="22" width="2.6640625" style="22" customWidth="1"/>
    <col min="23" max="23" width="23.77734375" style="44" customWidth="1"/>
    <col min="24" max="24" width="7.77734375" style="22" customWidth="1"/>
    <col min="25" max="25" width="14.88671875" style="22" customWidth="1"/>
    <col min="26" max="16384" width="7.77734375" style="22"/>
  </cols>
  <sheetData>
    <row r="1" spans="1:25" s="5" customFormat="1" ht="50.45" customHeight="1">
      <c r="D1" s="755" t="s">
        <v>113</v>
      </c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R1" s="3"/>
      <c r="S1" s="3"/>
      <c r="T1" s="4"/>
      <c r="U1" s="4"/>
      <c r="W1" s="3"/>
    </row>
    <row r="2" spans="1:25" s="5" customFormat="1" ht="45" customHeight="1">
      <c r="A2" s="756" t="s">
        <v>323</v>
      </c>
      <c r="B2" s="756"/>
      <c r="C2" s="580">
        <f>'[2]2021 Benefits Wk '!$L$1</f>
        <v>2022</v>
      </c>
      <c r="D2" s="745" t="s">
        <v>152</v>
      </c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746"/>
      <c r="R2" s="3"/>
      <c r="S2" s="3"/>
      <c r="T2" s="4"/>
      <c r="U2" s="4"/>
      <c r="W2" s="3"/>
    </row>
    <row r="3" spans="1:25" s="5" customFormat="1" ht="46.9" customHeight="1" thickBot="1">
      <c r="A3" s="757" t="s">
        <v>320</v>
      </c>
      <c r="B3" s="757"/>
      <c r="C3" s="758"/>
      <c r="D3" s="745" t="s">
        <v>326</v>
      </c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746"/>
      <c r="Q3" s="746"/>
      <c r="R3" s="8"/>
      <c r="T3" s="220"/>
      <c r="U3" s="220"/>
      <c r="V3" s="220"/>
    </row>
    <row r="4" spans="1:25" s="5" customFormat="1" ht="54.6" customHeight="1">
      <c r="A4" s="759"/>
      <c r="B4" s="759"/>
      <c r="C4" s="760"/>
      <c r="D4" s="761" t="s">
        <v>324</v>
      </c>
      <c r="E4" s="762"/>
      <c r="F4" s="762"/>
      <c r="G4" s="763"/>
      <c r="H4" s="593" t="s">
        <v>7</v>
      </c>
      <c r="I4" s="593" t="s">
        <v>7</v>
      </c>
      <c r="J4" s="593" t="s">
        <v>7</v>
      </c>
      <c r="K4" s="593" t="s">
        <v>7</v>
      </c>
      <c r="L4" s="593" t="s">
        <v>7</v>
      </c>
      <c r="M4" s="593" t="s">
        <v>7</v>
      </c>
      <c r="N4" s="593" t="s">
        <v>7</v>
      </c>
      <c r="O4" s="593" t="s">
        <v>7</v>
      </c>
      <c r="P4" s="11"/>
      <c r="Q4" s="764" t="s">
        <v>315</v>
      </c>
      <c r="R4" s="8"/>
      <c r="S4" s="747" t="s">
        <v>314</v>
      </c>
      <c r="T4" s="220"/>
      <c r="U4" s="220"/>
      <c r="V4" s="220"/>
      <c r="W4" s="766" t="s">
        <v>316</v>
      </c>
    </row>
    <row r="5" spans="1:25" ht="55.15" customHeight="1" thickBot="1">
      <c r="A5" s="303" t="s">
        <v>322</v>
      </c>
      <c r="B5" s="279" t="s">
        <v>321</v>
      </c>
      <c r="C5" s="280" t="s">
        <v>11</v>
      </c>
      <c r="D5" s="581" t="s">
        <v>325</v>
      </c>
      <c r="E5" s="581" t="s">
        <v>325</v>
      </c>
      <c r="F5" s="581" t="s">
        <v>325</v>
      </c>
      <c r="G5" s="581" t="s">
        <v>325</v>
      </c>
      <c r="H5" s="594" t="s">
        <v>306</v>
      </c>
      <c r="I5" s="594" t="s">
        <v>306</v>
      </c>
      <c r="J5" s="594" t="s">
        <v>306</v>
      </c>
      <c r="K5" s="594" t="s">
        <v>306</v>
      </c>
      <c r="L5" s="594" t="s">
        <v>306</v>
      </c>
      <c r="M5" s="594" t="s">
        <v>306</v>
      </c>
      <c r="N5" s="594" t="s">
        <v>306</v>
      </c>
      <c r="O5" s="594" t="s">
        <v>306</v>
      </c>
      <c r="P5" s="237"/>
      <c r="Q5" s="765"/>
      <c r="R5" s="225"/>
      <c r="S5" s="748"/>
      <c r="T5" s="225"/>
      <c r="U5" s="770" t="s">
        <v>332</v>
      </c>
      <c r="V5" s="225"/>
      <c r="W5" s="767"/>
    </row>
    <row r="6" spans="1:25" s="5" customFormat="1" ht="53.25" thickBot="1">
      <c r="A6" s="34" t="s">
        <v>15</v>
      </c>
      <c r="B6" s="34"/>
      <c r="C6" s="34"/>
      <c r="D6" s="586" t="s">
        <v>82</v>
      </c>
      <c r="E6" s="586" t="s">
        <v>83</v>
      </c>
      <c r="F6" s="586" t="s">
        <v>84</v>
      </c>
      <c r="G6" s="586" t="s">
        <v>85</v>
      </c>
      <c r="H6" s="582" t="s">
        <v>20</v>
      </c>
      <c r="I6" s="582" t="s">
        <v>21</v>
      </c>
      <c r="J6" s="582" t="s">
        <v>22</v>
      </c>
      <c r="K6" s="582" t="s">
        <v>23</v>
      </c>
      <c r="L6" s="582" t="s">
        <v>24</v>
      </c>
      <c r="M6" s="582" t="s">
        <v>25</v>
      </c>
      <c r="N6" s="582" t="s">
        <v>26</v>
      </c>
      <c r="O6" s="582" t="s">
        <v>27</v>
      </c>
      <c r="P6" s="11"/>
      <c r="Q6" s="238" t="s">
        <v>148</v>
      </c>
      <c r="R6" s="239"/>
      <c r="S6" s="499" t="s">
        <v>303</v>
      </c>
      <c r="T6" s="41"/>
      <c r="U6" s="771"/>
      <c r="W6" s="499" t="s">
        <v>303</v>
      </c>
    </row>
    <row r="7" spans="1:25" s="44" customFormat="1" ht="34.5" customHeight="1">
      <c r="A7" s="453" t="s">
        <v>170</v>
      </c>
      <c r="B7" s="241"/>
      <c r="C7" s="240"/>
      <c r="D7" s="587">
        <v>0</v>
      </c>
      <c r="E7" s="587">
        <v>533</v>
      </c>
      <c r="F7" s="587">
        <v>5073</v>
      </c>
      <c r="G7" s="587">
        <v>6319.5</v>
      </c>
      <c r="H7" s="583">
        <v>7500</v>
      </c>
      <c r="I7" s="584">
        <v>24905</v>
      </c>
      <c r="J7" s="584">
        <v>36900</v>
      </c>
      <c r="K7" s="584">
        <v>16476</v>
      </c>
      <c r="L7" s="584">
        <v>20820</v>
      </c>
      <c r="M7" s="584">
        <v>18073</v>
      </c>
      <c r="N7" s="584">
        <v>6386</v>
      </c>
      <c r="O7" s="585">
        <v>0</v>
      </c>
      <c r="P7" s="229"/>
      <c r="Q7" s="230">
        <f t="shared" ref="Q7:Q11" si="0">SUM(D7:O7)</f>
        <v>142985.5</v>
      </c>
      <c r="R7" s="243" t="s">
        <v>11</v>
      </c>
      <c r="S7" s="230">
        <v>162700</v>
      </c>
      <c r="T7" s="51"/>
      <c r="U7" s="503">
        <f>+Q7-S7</f>
        <v>-19714.5</v>
      </c>
      <c r="W7" s="230">
        <f>'2021 TOC Monthly R&amp;E @ 12-31'!N13</f>
        <v>53426.52</v>
      </c>
    </row>
    <row r="8" spans="1:25" s="44" customFormat="1" ht="35.1" customHeight="1">
      <c r="A8" s="453" t="s">
        <v>171</v>
      </c>
      <c r="B8" s="241"/>
      <c r="C8" s="240"/>
      <c r="D8" s="587">
        <v>0</v>
      </c>
      <c r="E8" s="587">
        <v>1295.2</v>
      </c>
      <c r="F8" s="587">
        <v>8613.2000000000007</v>
      </c>
      <c r="G8" s="587">
        <v>11806</v>
      </c>
      <c r="H8" s="573">
        <v>12654</v>
      </c>
      <c r="I8" s="509">
        <v>29940</v>
      </c>
      <c r="J8" s="509">
        <v>39850</v>
      </c>
      <c r="K8" s="509">
        <v>22721</v>
      </c>
      <c r="L8" s="509">
        <v>40961</v>
      </c>
      <c r="M8" s="509">
        <v>33312</v>
      </c>
      <c r="N8" s="509">
        <v>12432</v>
      </c>
      <c r="O8" s="510">
        <v>0</v>
      </c>
      <c r="P8" s="229"/>
      <c r="Q8" s="230">
        <f t="shared" si="0"/>
        <v>213584.4</v>
      </c>
      <c r="R8" s="243" t="s">
        <v>11</v>
      </c>
      <c r="S8" s="230">
        <v>213900</v>
      </c>
      <c r="T8" s="51"/>
      <c r="U8" s="502">
        <f>+Q8-S8</f>
        <v>-315.60000000000582</v>
      </c>
      <c r="W8" s="230">
        <f>'2021 TOC Monthly R&amp;E @ 12-31'!N14</f>
        <v>108451.87</v>
      </c>
    </row>
    <row r="9" spans="1:25" s="44" customFormat="1" ht="35.1" customHeight="1">
      <c r="A9" s="453" t="s">
        <v>318</v>
      </c>
      <c r="B9" s="241"/>
      <c r="C9" s="240"/>
      <c r="D9" s="605" t="s">
        <v>11</v>
      </c>
      <c r="E9" s="588">
        <v>0</v>
      </c>
      <c r="F9" s="588">
        <v>0</v>
      </c>
      <c r="G9" s="588">
        <v>0</v>
      </c>
      <c r="H9" s="510">
        <v>0</v>
      </c>
      <c r="I9" s="510">
        <v>0</v>
      </c>
      <c r="J9" s="510">
        <v>0</v>
      </c>
      <c r="K9" s="510">
        <v>0</v>
      </c>
      <c r="L9" s="510">
        <v>0</v>
      </c>
      <c r="M9" s="510">
        <v>0</v>
      </c>
      <c r="N9" s="510">
        <v>0</v>
      </c>
      <c r="O9" s="510">
        <v>0</v>
      </c>
      <c r="P9" s="229"/>
      <c r="Q9" s="230">
        <f t="shared" si="0"/>
        <v>0</v>
      </c>
      <c r="R9" s="243" t="s">
        <v>11</v>
      </c>
      <c r="S9" s="230">
        <v>0</v>
      </c>
      <c r="T9" s="51"/>
      <c r="U9" s="502">
        <f t="shared" ref="U9:U11" si="1">+Q9-S9</f>
        <v>0</v>
      </c>
      <c r="W9" s="230" t="s">
        <v>11</v>
      </c>
    </row>
    <row r="10" spans="1:25" s="44" customFormat="1" ht="34.5" customHeight="1">
      <c r="A10" s="466" t="s">
        <v>172</v>
      </c>
      <c r="B10" s="241"/>
      <c r="C10" s="240"/>
      <c r="D10" s="588">
        <v>0</v>
      </c>
      <c r="E10" s="588">
        <v>0</v>
      </c>
      <c r="F10" s="588">
        <v>0</v>
      </c>
      <c r="G10" s="588">
        <v>0</v>
      </c>
      <c r="H10" s="509">
        <v>200</v>
      </c>
      <c r="I10" s="509">
        <v>2200</v>
      </c>
      <c r="J10" s="509">
        <v>1400</v>
      </c>
      <c r="K10" s="510">
        <v>0</v>
      </c>
      <c r="L10" s="510">
        <v>0</v>
      </c>
      <c r="M10" s="510">
        <v>0</v>
      </c>
      <c r="N10" s="510">
        <v>0</v>
      </c>
      <c r="O10" s="510">
        <v>0</v>
      </c>
      <c r="P10" s="229"/>
      <c r="Q10" s="230">
        <f t="shared" si="0"/>
        <v>3800</v>
      </c>
      <c r="R10" s="243" t="s">
        <v>11</v>
      </c>
      <c r="S10" s="230">
        <v>12700</v>
      </c>
      <c r="T10" s="51"/>
      <c r="U10" s="502">
        <f t="shared" si="1"/>
        <v>-8900</v>
      </c>
      <c r="W10" s="230">
        <f>1589+77800</f>
        <v>79389</v>
      </c>
      <c r="X10" s="453" t="s">
        <v>318</v>
      </c>
    </row>
    <row r="11" spans="1:25" s="44" customFormat="1" ht="35.1" customHeight="1">
      <c r="A11" s="466" t="s">
        <v>317</v>
      </c>
      <c r="B11" s="466"/>
      <c r="C11" s="240"/>
      <c r="D11" s="588">
        <v>0</v>
      </c>
      <c r="E11" s="587">
        <v>-91.41</v>
      </c>
      <c r="F11" s="587">
        <v>-392.56</v>
      </c>
      <c r="G11" s="588">
        <v>0</v>
      </c>
      <c r="H11" s="510">
        <f>'[1]Input Wrksht '!J10</f>
        <v>0</v>
      </c>
      <c r="I11" s="510">
        <f>'[1]Input Wrksht '!K10</f>
        <v>0</v>
      </c>
      <c r="J11" s="510">
        <f>'[1]Input Wrksht '!L10</f>
        <v>0</v>
      </c>
      <c r="K11" s="510">
        <v>0</v>
      </c>
      <c r="L11" s="510">
        <v>0</v>
      </c>
      <c r="M11" s="510">
        <v>0</v>
      </c>
      <c r="N11" s="510">
        <v>0</v>
      </c>
      <c r="O11" s="510">
        <v>0</v>
      </c>
      <c r="P11" s="229"/>
      <c r="Q11" s="230">
        <f t="shared" si="0"/>
        <v>-483.97</v>
      </c>
      <c r="R11" s="243" t="s">
        <v>11</v>
      </c>
      <c r="S11" s="230">
        <v>0</v>
      </c>
      <c r="T11" s="51"/>
      <c r="U11" s="502">
        <f t="shared" si="1"/>
        <v>-483.97</v>
      </c>
      <c r="W11" s="230">
        <f>'2021 TOC Monthly R&amp;E @ 12-31'!N22</f>
        <v>-3691.92</v>
      </c>
      <c r="Y11" s="44" t="s">
        <v>11</v>
      </c>
    </row>
    <row r="12" spans="1:25" s="44" customFormat="1" ht="35.1" customHeight="1">
      <c r="A12" s="22"/>
      <c r="B12" s="56"/>
      <c r="C12" s="56"/>
      <c r="D12" s="321"/>
      <c r="E12" s="321"/>
      <c r="F12" s="321"/>
      <c r="G12" s="321"/>
      <c r="H12" s="56"/>
      <c r="I12" s="56"/>
      <c r="J12" s="56"/>
      <c r="K12" s="56"/>
      <c r="L12" s="56"/>
      <c r="M12" s="56"/>
      <c r="N12" s="56"/>
      <c r="O12" s="56"/>
      <c r="P12" s="56"/>
      <c r="R12" s="243" t="s">
        <v>11</v>
      </c>
      <c r="T12" s="51"/>
      <c r="U12" s="56" t="s">
        <v>11</v>
      </c>
      <c r="V12" s="56" t="s">
        <v>11</v>
      </c>
    </row>
    <row r="13" spans="1:25" ht="25.5" customHeight="1" thickBot="1">
      <c r="A13" s="4"/>
      <c r="B13" s="62" t="s">
        <v>37</v>
      </c>
      <c r="C13" s="62"/>
      <c r="D13" s="569">
        <f t="shared" ref="D13:N13" si="2">SUM(D7:D12)</f>
        <v>0</v>
      </c>
      <c r="E13" s="569">
        <f t="shared" si="2"/>
        <v>1736.79</v>
      </c>
      <c r="F13" s="569">
        <f t="shared" si="2"/>
        <v>13293.640000000001</v>
      </c>
      <c r="G13" s="569">
        <f t="shared" si="2"/>
        <v>18125.5</v>
      </c>
      <c r="H13" s="245">
        <f t="shared" si="2"/>
        <v>20354</v>
      </c>
      <c r="I13" s="507">
        <f t="shared" si="2"/>
        <v>57045</v>
      </c>
      <c r="J13" s="507">
        <f t="shared" si="2"/>
        <v>78150</v>
      </c>
      <c r="K13" s="245">
        <f t="shared" si="2"/>
        <v>39197</v>
      </c>
      <c r="L13" s="245">
        <f t="shared" si="2"/>
        <v>61781</v>
      </c>
      <c r="M13" s="245">
        <f t="shared" si="2"/>
        <v>51385</v>
      </c>
      <c r="N13" s="245">
        <f t="shared" si="2"/>
        <v>18818</v>
      </c>
      <c r="O13" s="246">
        <f>SUM(O7:O11)</f>
        <v>0</v>
      </c>
      <c r="P13" s="229"/>
      <c r="Q13" s="231">
        <f>SUM(Q7:Q11)</f>
        <v>359885.93000000005</v>
      </c>
      <c r="R13" s="243" t="s">
        <v>11</v>
      </c>
      <c r="S13" s="283">
        <f>ROUND((SUM(S7:S12)),-1)</f>
        <v>389300</v>
      </c>
      <c r="T13" s="51"/>
      <c r="U13" s="505">
        <f>ROUND((SUM(U7:U12)),-1)</f>
        <v>-29410</v>
      </c>
      <c r="V13" s="4"/>
      <c r="W13" s="283">
        <f>ROUND((SUM(W7:W12)),-1)</f>
        <v>237580</v>
      </c>
    </row>
    <row r="14" spans="1:25" s="4" customFormat="1" ht="19.149999999999999" customHeight="1" thickTop="1">
      <c r="A14" s="247"/>
      <c r="B14" s="432"/>
      <c r="C14" s="433"/>
      <c r="D14" s="570"/>
      <c r="E14" s="570"/>
      <c r="F14" s="570"/>
      <c r="G14" s="570"/>
      <c r="H14" s="434"/>
      <c r="I14" s="435"/>
      <c r="J14" s="434"/>
      <c r="K14" s="434"/>
      <c r="L14" s="434"/>
      <c r="M14" s="434"/>
      <c r="N14" s="434"/>
      <c r="O14" s="434"/>
      <c r="P14" s="436"/>
      <c r="Q14" s="437"/>
      <c r="R14" s="243" t="s">
        <v>11</v>
      </c>
      <c r="S14" s="243" t="s">
        <v>11</v>
      </c>
      <c r="T14" s="243" t="s">
        <v>11</v>
      </c>
      <c r="U14" s="243" t="s">
        <v>11</v>
      </c>
      <c r="V14" s="243" t="s">
        <v>11</v>
      </c>
      <c r="W14" s="243" t="s">
        <v>11</v>
      </c>
    </row>
    <row r="15" spans="1:25" ht="30" customHeight="1">
      <c r="A15" s="111" t="s">
        <v>305</v>
      </c>
      <c r="B15" s="461"/>
      <c r="C15" s="233"/>
      <c r="D15" s="571">
        <v>0</v>
      </c>
      <c r="E15" s="571">
        <v>40</v>
      </c>
      <c r="F15" s="571">
        <v>125</v>
      </c>
      <c r="G15" s="571">
        <v>150</v>
      </c>
      <c r="H15" s="512">
        <v>350</v>
      </c>
      <c r="I15" s="512">
        <v>1000</v>
      </c>
      <c r="J15" s="512">
        <v>1200</v>
      </c>
      <c r="K15" s="512">
        <v>825</v>
      </c>
      <c r="L15" s="512">
        <v>750</v>
      </c>
      <c r="M15" s="512">
        <v>800</v>
      </c>
      <c r="N15" s="512">
        <v>350</v>
      </c>
      <c r="O15" s="512">
        <v>50</v>
      </c>
      <c r="P15" s="11"/>
      <c r="Q15" s="511">
        <f>SUM(D15:O15)</f>
        <v>5640</v>
      </c>
      <c r="R15" s="243" t="s">
        <v>11</v>
      </c>
      <c r="S15" s="284">
        <v>5640</v>
      </c>
      <c r="T15" s="85"/>
      <c r="U15" s="22"/>
      <c r="W15" s="284" t="s">
        <v>11</v>
      </c>
    </row>
    <row r="16" spans="1:25" ht="18" customHeight="1">
      <c r="A16" s="252"/>
      <c r="B16" s="281"/>
      <c r="C16" s="282"/>
      <c r="D16" s="347"/>
      <c r="E16" s="347"/>
      <c r="F16" s="347"/>
      <c r="G16" s="347"/>
      <c r="H16" s="290"/>
      <c r="I16" s="290"/>
      <c r="J16" s="291"/>
      <c r="K16" s="290"/>
      <c r="L16" s="290"/>
      <c r="M16" s="290"/>
      <c r="N16" s="290"/>
      <c r="O16" s="290"/>
      <c r="P16" s="22"/>
      <c r="S16" s="22"/>
      <c r="T16" s="22"/>
      <c r="U16" s="22"/>
      <c r="W16" s="22"/>
    </row>
    <row r="17" spans="1:25" s="105" customFormat="1" ht="54.6" customHeight="1">
      <c r="A17" s="261" t="s">
        <v>42</v>
      </c>
      <c r="B17" s="119"/>
      <c r="C17" s="119"/>
      <c r="D17" s="572"/>
      <c r="E17" s="576"/>
      <c r="F17" s="572"/>
      <c r="G17" s="578"/>
      <c r="H17" s="121"/>
      <c r="I17" s="121"/>
      <c r="J17" s="121"/>
      <c r="K17" s="121"/>
      <c r="L17" s="121"/>
      <c r="M17" s="121"/>
      <c r="N17" s="121"/>
      <c r="P17" s="229"/>
      <c r="Q17" s="238" t="s">
        <v>147</v>
      </c>
      <c r="R17" s="243" t="s">
        <v>11</v>
      </c>
      <c r="S17" s="40" t="s">
        <v>44</v>
      </c>
      <c r="T17" s="108"/>
      <c r="U17" s="42" t="s">
        <v>30</v>
      </c>
      <c r="V17" s="5"/>
      <c r="W17" s="40" t="s">
        <v>44</v>
      </c>
      <c r="Y17"/>
    </row>
    <row r="18" spans="1:25" s="105" customFormat="1" ht="31.5" customHeight="1">
      <c r="A18" s="148"/>
      <c r="B18" s="148" t="s">
        <v>11</v>
      </c>
      <c r="C18" s="148"/>
      <c r="D18" s="357" t="str">
        <f t="shared" ref="D18:O18" si="3">IF((+D$7+D$8)=0," ",D19/(+D$7+D$8))</f>
        <v xml:space="preserve"> </v>
      </c>
      <c r="E18" s="357">
        <f t="shared" si="3"/>
        <v>0.24067388688327315</v>
      </c>
      <c r="F18" s="357">
        <f t="shared" si="3"/>
        <v>0.23965746518390788</v>
      </c>
      <c r="G18" s="357">
        <f t="shared" si="3"/>
        <v>0.2399933794929795</v>
      </c>
      <c r="H18" s="129">
        <f t="shared" si="3"/>
        <v>0.24015083854321723</v>
      </c>
      <c r="I18" s="129">
        <f t="shared" si="3"/>
        <v>0.23994894703254627</v>
      </c>
      <c r="J18" s="129">
        <f t="shared" si="3"/>
        <v>0.24</v>
      </c>
      <c r="K18" s="129">
        <f t="shared" si="3"/>
        <v>0.24006939306579586</v>
      </c>
      <c r="L18" s="129">
        <f t="shared" si="3"/>
        <v>0.24004143668765479</v>
      </c>
      <c r="M18" s="262">
        <f t="shared" si="3"/>
        <v>0.23995329376277125</v>
      </c>
      <c r="N18" s="262">
        <f t="shared" si="3"/>
        <v>0.24019555744499946</v>
      </c>
      <c r="O18" s="262" t="str">
        <f t="shared" si="3"/>
        <v xml:space="preserve"> </v>
      </c>
      <c r="P18" s="11"/>
      <c r="Q18" s="263">
        <f>IF((+Q$7+Q$8)=0," ",Q19/(+Q$7+Q$8))</f>
        <v>0.24000904170542717</v>
      </c>
      <c r="R18" s="243" t="s">
        <v>11</v>
      </c>
      <c r="S18" s="142">
        <f>IF((+S$7+S$8)=0," ",S19/(+S$7+S$8))</f>
        <v>0.23998937865108869</v>
      </c>
      <c r="T18" s="118"/>
      <c r="U18" s="134"/>
      <c r="V18" s="127"/>
      <c r="W18" s="142">
        <f>IF((+W$7+W$8)=0," ",W19/(+W$7+W$8))</f>
        <v>0.37966772464193649</v>
      </c>
      <c r="Y18"/>
    </row>
    <row r="19" spans="1:25" s="5" customFormat="1" ht="27">
      <c r="A19" s="467" t="s">
        <v>174</v>
      </c>
      <c r="B19" s="265"/>
      <c r="C19" s="265"/>
      <c r="D19" s="362" t="s">
        <v>11</v>
      </c>
      <c r="E19" s="362">
        <f>ROUND((E7+E8)*24%,-1)</f>
        <v>440</v>
      </c>
      <c r="F19" s="362">
        <f t="shared" ref="F19:O19" si="4">ROUND((F7+F8)*24%,-1)</f>
        <v>3280</v>
      </c>
      <c r="G19" s="362">
        <f t="shared" si="4"/>
        <v>4350</v>
      </c>
      <c r="H19" s="577">
        <f t="shared" si="4"/>
        <v>4840</v>
      </c>
      <c r="I19" s="266">
        <f t="shared" si="4"/>
        <v>13160</v>
      </c>
      <c r="J19" s="266">
        <f t="shared" si="4"/>
        <v>18420</v>
      </c>
      <c r="K19" s="266">
        <f t="shared" si="4"/>
        <v>9410</v>
      </c>
      <c r="L19" s="266">
        <f t="shared" si="4"/>
        <v>14830</v>
      </c>
      <c r="M19" s="266">
        <f t="shared" si="4"/>
        <v>12330</v>
      </c>
      <c r="N19" s="266">
        <f t="shared" si="4"/>
        <v>4520</v>
      </c>
      <c r="O19" s="266">
        <f t="shared" si="4"/>
        <v>0</v>
      </c>
      <c r="P19" s="267"/>
      <c r="Q19" s="266">
        <f>SUM(D19:O19)</f>
        <v>85580</v>
      </c>
      <c r="R19" s="243" t="s">
        <v>11</v>
      </c>
      <c r="S19" s="425">
        <v>90380</v>
      </c>
      <c r="T19" s="125"/>
      <c r="U19" s="85">
        <f>+Q19-S19</f>
        <v>-4800</v>
      </c>
      <c r="V19" s="4"/>
      <c r="W19" s="425">
        <f>'2021 TOC Monthly R&amp;E @ 12-31'!N50</f>
        <v>61460</v>
      </c>
      <c r="Y19"/>
    </row>
    <row r="20" spans="1:25" s="127" customFormat="1" ht="27" customHeight="1">
      <c r="A20" s="124"/>
      <c r="B20" s="124"/>
      <c r="C20" s="124"/>
      <c r="D20" s="366" t="str">
        <f t="shared" ref="D20:O20" si="5">IF((+D$7+D$8)=0," ",(+D21+D22)/(+D$7+D$8))</f>
        <v xml:space="preserve"> </v>
      </c>
      <c r="E20" s="366">
        <f t="shared" si="5"/>
        <v>4.463514318031665</v>
      </c>
      <c r="F20" s="366">
        <f t="shared" si="5"/>
        <v>0.62505764269729247</v>
      </c>
      <c r="G20" s="366">
        <f t="shared" si="5"/>
        <v>0.37765563985650813</v>
      </c>
      <c r="H20" s="574">
        <f t="shared" si="5"/>
        <v>0.33145951324501932</v>
      </c>
      <c r="I20" s="141">
        <f t="shared" si="5"/>
        <v>0.22509317007785962</v>
      </c>
      <c r="J20" s="141">
        <f t="shared" si="5"/>
        <v>0.23954703549398981</v>
      </c>
      <c r="K20" s="141">
        <f t="shared" si="5"/>
        <v>0.21550719663746695</v>
      </c>
      <c r="L20" s="141">
        <f t="shared" si="5"/>
        <v>0.17206317773171503</v>
      </c>
      <c r="M20" s="141">
        <f t="shared" si="5"/>
        <v>0.18511696977736875</v>
      </c>
      <c r="N20" s="141">
        <f t="shared" si="5"/>
        <v>0.27102961494939137</v>
      </c>
      <c r="O20" s="141" t="str">
        <f t="shared" si="5"/>
        <v xml:space="preserve"> </v>
      </c>
      <c r="P20" s="124"/>
      <c r="Q20" s="141">
        <f>IF((+Q$7+Q$8)=0," ",(+Q21+Q22)/(+Q$7+Q$8))</f>
        <v>0.30787428468755951</v>
      </c>
      <c r="R20" s="243" t="s">
        <v>11</v>
      </c>
      <c r="S20" s="556">
        <f>IF((+S$7+S$8)=0," ",(+S21+S22)/(+S$7+S$8))</f>
        <v>0.2602767930352905</v>
      </c>
      <c r="T20" s="124"/>
      <c r="U20" s="134"/>
      <c r="V20" s="143"/>
      <c r="W20" s="556">
        <f>IF((+W$7+W$8)=0," ",(+W21+W22)/(+W$7+W$8))</f>
        <v>0.5966283840567701</v>
      </c>
      <c r="Y20"/>
    </row>
    <row r="21" spans="1:25" s="4" customFormat="1" ht="35.1" customHeight="1">
      <c r="A21" s="453" t="s">
        <v>155</v>
      </c>
      <c r="B21" s="45"/>
      <c r="C21" s="45"/>
      <c r="D21" s="589">
        <v>8400</v>
      </c>
      <c r="E21" s="589">
        <v>8160</v>
      </c>
      <c r="F21" s="589">
        <v>8554.48</v>
      </c>
      <c r="G21" s="589">
        <v>6845</v>
      </c>
      <c r="H21" s="568">
        <v>6680</v>
      </c>
      <c r="I21" s="568">
        <v>12345</v>
      </c>
      <c r="J21" s="568">
        <v>18385</v>
      </c>
      <c r="K21" s="568">
        <v>8447</v>
      </c>
      <c r="L21" s="568">
        <v>10630</v>
      </c>
      <c r="M21" s="568">
        <v>9512</v>
      </c>
      <c r="N21" s="568">
        <v>5100</v>
      </c>
      <c r="O21" s="568">
        <v>6720</v>
      </c>
      <c r="P21" s="48"/>
      <c r="Q21" s="139">
        <f>SUM(D21:O21)</f>
        <v>109778.48</v>
      </c>
      <c r="R21" s="243" t="s">
        <v>11</v>
      </c>
      <c r="S21" s="557">
        <v>98020</v>
      </c>
      <c r="T21" s="85"/>
      <c r="U21" s="85">
        <f>+Q21-S21</f>
        <v>11758.479999999996</v>
      </c>
      <c r="V21" s="143"/>
      <c r="W21" s="557">
        <f>'2021 TOC Monthly R&amp;E @ 12-31'!N30</f>
        <v>96580.95</v>
      </c>
      <c r="Y21"/>
    </row>
    <row r="22" spans="1:25" s="127" customFormat="1" ht="27" customHeight="1">
      <c r="A22" s="464"/>
      <c r="B22" s="124"/>
      <c r="C22" s="124"/>
      <c r="D22" s="590">
        <f t="shared" ref="D22:O22" si="6">IF(+D$21=0," ",D23/+D$21)</f>
        <v>0.19520714285714286</v>
      </c>
      <c r="E22" s="590">
        <f t="shared" si="6"/>
        <v>0.19687622549019607</v>
      </c>
      <c r="F22" s="590">
        <f t="shared" si="6"/>
        <v>0.18390948368574128</v>
      </c>
      <c r="G22" s="590">
        <f t="shared" si="6"/>
        <v>0.19730021913805698</v>
      </c>
      <c r="H22" s="574">
        <f t="shared" si="6"/>
        <v>0.23502994011976047</v>
      </c>
      <c r="I22" s="141">
        <f t="shared" si="6"/>
        <v>0.23491292021061158</v>
      </c>
      <c r="J22" s="141">
        <f t="shared" si="6"/>
        <v>0.23497416372042426</v>
      </c>
      <c r="K22" s="141">
        <f t="shared" si="6"/>
        <v>0.23558659879247071</v>
      </c>
      <c r="L22" s="141">
        <f t="shared" si="6"/>
        <v>0.23518344308560676</v>
      </c>
      <c r="M22" s="141">
        <f t="shared" si="6"/>
        <v>0.23549201009251472</v>
      </c>
      <c r="N22" s="141">
        <f t="shared" si="6"/>
        <v>0.23529411764705882</v>
      </c>
      <c r="O22" s="141">
        <f t="shared" si="6"/>
        <v>0.23511904761904762</v>
      </c>
      <c r="P22" s="147"/>
      <c r="Q22" s="141">
        <f t="shared" ref="Q22:S22" si="7">IF(+Q$21=0," ",Q23/+Q$21)</f>
        <v>0.22290361462465141</v>
      </c>
      <c r="R22" s="243" t="s">
        <v>11</v>
      </c>
      <c r="S22" s="556">
        <f t="shared" si="7"/>
        <v>0.24025709038971638</v>
      </c>
      <c r="T22" s="124"/>
      <c r="U22" s="134"/>
      <c r="V22" s="143"/>
      <c r="W22" s="556">
        <f t="shared" ref="W22" si="8">IF(+W$21=0," ",W23/+W$21)</f>
        <v>0.29223941160239159</v>
      </c>
    </row>
    <row r="23" spans="1:25" s="44" customFormat="1" ht="34.5" customHeight="1">
      <c r="A23" s="453" t="s">
        <v>167</v>
      </c>
      <c r="B23" s="45"/>
      <c r="C23" s="45"/>
      <c r="D23" s="589">
        <v>1639.74</v>
      </c>
      <c r="E23" s="589">
        <v>1606.51</v>
      </c>
      <c r="F23" s="589">
        <v>1573.25</v>
      </c>
      <c r="G23" s="589">
        <v>1350.52</v>
      </c>
      <c r="H23" s="568">
        <f t="shared" ref="H23:O23" si="9">ROUND((H21*23.5%),-1)</f>
        <v>1570</v>
      </c>
      <c r="I23" s="145">
        <f t="shared" si="9"/>
        <v>2900</v>
      </c>
      <c r="J23" s="145">
        <f t="shared" si="9"/>
        <v>4320</v>
      </c>
      <c r="K23" s="145">
        <f t="shared" si="9"/>
        <v>1990</v>
      </c>
      <c r="L23" s="145">
        <f t="shared" si="9"/>
        <v>2500</v>
      </c>
      <c r="M23" s="145">
        <f t="shared" si="9"/>
        <v>2240</v>
      </c>
      <c r="N23" s="145">
        <f t="shared" si="9"/>
        <v>1200</v>
      </c>
      <c r="O23" s="145">
        <f t="shared" si="9"/>
        <v>1580</v>
      </c>
      <c r="P23" s="48"/>
      <c r="Q23" s="139">
        <f t="shared" ref="Q23:Q49" si="10">SUM(D23:O23)</f>
        <v>24470.02</v>
      </c>
      <c r="R23" s="243" t="s">
        <v>11</v>
      </c>
      <c r="S23" s="557">
        <v>23550</v>
      </c>
      <c r="T23" s="51"/>
      <c r="U23" s="85">
        <f>+Q23-S23</f>
        <v>920.02000000000044</v>
      </c>
      <c r="V23" s="143"/>
      <c r="W23" s="557">
        <f>'2021 TOC Monthly R&amp;E @ 12-31'!N40</f>
        <v>28224.760000000002</v>
      </c>
    </row>
    <row r="24" spans="1:25" s="127" customFormat="1" ht="27" customHeight="1">
      <c r="A24" s="464"/>
      <c r="B24" s="124"/>
      <c r="C24" s="124"/>
      <c r="D24" s="590" t="str">
        <f t="shared" ref="D24:O24" si="11">IF((+D$7+D$8)=0," ",D25/(+D$7+D$8))</f>
        <v xml:space="preserve"> </v>
      </c>
      <c r="E24" s="590">
        <f t="shared" si="11"/>
        <v>0</v>
      </c>
      <c r="F24" s="590">
        <f t="shared" si="11"/>
        <v>8.3295582411480173E-3</v>
      </c>
      <c r="G24" s="590">
        <f t="shared" si="11"/>
        <v>4.9377948194532567E-3</v>
      </c>
      <c r="H24" s="574">
        <f t="shared" si="11"/>
        <v>1.4885382554331646E-2</v>
      </c>
      <c r="I24" s="141">
        <f t="shared" si="11"/>
        <v>0</v>
      </c>
      <c r="J24" s="141">
        <f t="shared" si="11"/>
        <v>0</v>
      </c>
      <c r="K24" s="141">
        <f t="shared" si="11"/>
        <v>0</v>
      </c>
      <c r="L24" s="141">
        <f t="shared" si="11"/>
        <v>0</v>
      </c>
      <c r="M24" s="141">
        <f t="shared" si="11"/>
        <v>0</v>
      </c>
      <c r="N24" s="141">
        <f t="shared" si="11"/>
        <v>0</v>
      </c>
      <c r="O24" s="141" t="str">
        <f t="shared" si="11"/>
        <v xml:space="preserve"> </v>
      </c>
      <c r="P24" s="124"/>
      <c r="Q24" s="141">
        <f>IF((+Q$7+Q$8)=0," ",(+Q25+Q26)/(+Q$7+Q$8))</f>
        <v>2.2541285078538473E-3</v>
      </c>
      <c r="R24" s="243" t="s">
        <v>11</v>
      </c>
      <c r="S24" s="558">
        <v>2.9215082641863067E-3</v>
      </c>
      <c r="T24" s="124"/>
      <c r="U24" s="134"/>
      <c r="V24" s="143"/>
      <c r="W24" s="558">
        <v>2.9215082641863067E-3</v>
      </c>
    </row>
    <row r="25" spans="1:25" s="44" customFormat="1" ht="35.1" customHeight="1">
      <c r="A25" s="453" t="s">
        <v>168</v>
      </c>
      <c r="B25" s="45"/>
      <c r="C25" s="45"/>
      <c r="D25" s="589">
        <v>0</v>
      </c>
      <c r="E25" s="589">
        <v>0</v>
      </c>
      <c r="F25" s="589">
        <v>114</v>
      </c>
      <c r="G25" s="589">
        <v>89.5</v>
      </c>
      <c r="H25" s="568">
        <v>300</v>
      </c>
      <c r="I25" s="145">
        <v>0</v>
      </c>
      <c r="J25" s="145">
        <v>0</v>
      </c>
      <c r="K25" s="145">
        <v>0</v>
      </c>
      <c r="L25" s="145">
        <v>0</v>
      </c>
      <c r="M25" s="145">
        <v>0</v>
      </c>
      <c r="N25" s="145">
        <v>0</v>
      </c>
      <c r="O25" s="145">
        <v>300</v>
      </c>
      <c r="P25" s="48"/>
      <c r="Q25" s="139">
        <f t="shared" si="10"/>
        <v>803.5</v>
      </c>
      <c r="R25" s="243" t="s">
        <v>11</v>
      </c>
      <c r="S25" s="557">
        <v>1100</v>
      </c>
      <c r="T25" s="51"/>
      <c r="U25" s="85">
        <f>+Q25-S25</f>
        <v>-296.5</v>
      </c>
      <c r="V25" s="143"/>
      <c r="W25" s="557">
        <f>'2021 TOC Monthly R&amp;E @ 12-31'!N41+'2021 TOC Monthly R&amp;E @ 12-31'!N45+'2021 TOC Monthly R&amp;E @ 12-31'!N46</f>
        <v>15590.18</v>
      </c>
    </row>
    <row r="26" spans="1:25" s="127" customFormat="1" ht="27" customHeight="1">
      <c r="A26" s="124"/>
      <c r="B26" s="124"/>
      <c r="C26" s="124"/>
      <c r="D26" s="590" t="str">
        <f t="shared" ref="D26:O26" si="12">IF(+D$7=0," ",D27/+D$7)</f>
        <v xml:space="preserve"> </v>
      </c>
      <c r="E26" s="590">
        <f t="shared" si="12"/>
        <v>0.92369606003752347</v>
      </c>
      <c r="F26" s="590">
        <f t="shared" si="12"/>
        <v>0.63590774689532825</v>
      </c>
      <c r="G26" s="590">
        <f t="shared" si="12"/>
        <v>0.17516417438088458</v>
      </c>
      <c r="H26" s="574">
        <f t="shared" si="12"/>
        <v>0.24</v>
      </c>
      <c r="I26" s="141">
        <f t="shared" si="12"/>
        <v>0.24011242722344911</v>
      </c>
      <c r="J26" s="141">
        <f t="shared" si="12"/>
        <v>0.24010840108401085</v>
      </c>
      <c r="K26" s="141">
        <f t="shared" si="12"/>
        <v>0.23974265598446226</v>
      </c>
      <c r="L26" s="141">
        <f t="shared" si="12"/>
        <v>0.24063400576368876</v>
      </c>
      <c r="M26" s="141">
        <f t="shared" si="12"/>
        <v>0.24013722126929674</v>
      </c>
      <c r="N26" s="141">
        <f t="shared" si="12"/>
        <v>0.23958659567804572</v>
      </c>
      <c r="O26" s="141" t="str">
        <f t="shared" si="12"/>
        <v xml:space="preserve"> </v>
      </c>
      <c r="P26" s="124"/>
      <c r="Q26" s="438">
        <f>IF(+Q$7=0," ",Q27/+Q$7)</f>
        <v>0.25437663259561283</v>
      </c>
      <c r="R26" s="243" t="s">
        <v>11</v>
      </c>
      <c r="S26" s="559">
        <f>IF(+S$7=0," ",S27/+S$7)</f>
        <v>0.24001229256299939</v>
      </c>
      <c r="T26" s="124"/>
      <c r="U26" s="134"/>
      <c r="V26" s="143"/>
      <c r="W26" s="559">
        <f>IF(+W$7=0," ",W27/+W$7)</f>
        <v>0.93773766286855298</v>
      </c>
    </row>
    <row r="27" spans="1:25" s="44" customFormat="1" ht="35.1" customHeight="1">
      <c r="A27" s="453" t="s">
        <v>156</v>
      </c>
      <c r="B27" s="45"/>
      <c r="C27" s="45"/>
      <c r="D27" s="589">
        <v>76.930000000000007</v>
      </c>
      <c r="E27" s="589">
        <v>492.33</v>
      </c>
      <c r="F27" s="589">
        <v>3225.96</v>
      </c>
      <c r="G27" s="589">
        <v>1106.95</v>
      </c>
      <c r="H27" s="568">
        <f t="shared" ref="H27:O27" si="13">ROUND((H7*24%),-1)</f>
        <v>1800</v>
      </c>
      <c r="I27" s="145">
        <f t="shared" si="13"/>
        <v>5980</v>
      </c>
      <c r="J27" s="145">
        <f t="shared" si="13"/>
        <v>8860</v>
      </c>
      <c r="K27" s="145">
        <f t="shared" si="13"/>
        <v>3950</v>
      </c>
      <c r="L27" s="145">
        <f>ROUND((L7*24%),-1)+10</f>
        <v>5010</v>
      </c>
      <c r="M27" s="145">
        <f t="shared" si="13"/>
        <v>4340</v>
      </c>
      <c r="N27" s="145">
        <f t="shared" si="13"/>
        <v>1530</v>
      </c>
      <c r="O27" s="145">
        <f t="shared" si="13"/>
        <v>0</v>
      </c>
      <c r="P27" s="48"/>
      <c r="Q27" s="139">
        <f t="shared" si="10"/>
        <v>36372.17</v>
      </c>
      <c r="R27" s="243" t="s">
        <v>11</v>
      </c>
      <c r="S27" s="557">
        <v>39050</v>
      </c>
      <c r="T27" s="51"/>
      <c r="U27" s="85">
        <f>+Q27-S27</f>
        <v>-2677.8300000000017</v>
      </c>
      <c r="V27" s="143"/>
      <c r="W27" s="557">
        <f>'2021 TOC Monthly R&amp;E @ 12-31'!N53</f>
        <v>50100.06</v>
      </c>
      <c r="X27" s="127"/>
    </row>
    <row r="28" spans="1:25" s="127" customFormat="1" ht="27" customHeight="1">
      <c r="A28" s="464"/>
      <c r="B28" s="124"/>
      <c r="C28" s="124"/>
      <c r="D28" s="590" t="str">
        <f t="shared" ref="D28:O28" si="14">IF((+D$7+D$8)=0," ",D29/(+D$7+D$8))</f>
        <v xml:space="preserve"> </v>
      </c>
      <c r="E28" s="590">
        <f t="shared" si="14"/>
        <v>0</v>
      </c>
      <c r="F28" s="590">
        <f t="shared" si="14"/>
        <v>3.2419517470152412E-3</v>
      </c>
      <c r="G28" s="590">
        <f t="shared" si="14"/>
        <v>0</v>
      </c>
      <c r="H28" s="574">
        <f t="shared" si="14"/>
        <v>4.9617941847772155E-3</v>
      </c>
      <c r="I28" s="141">
        <f t="shared" si="14"/>
        <v>2.2791503327559484E-3</v>
      </c>
      <c r="J28" s="141">
        <f t="shared" si="14"/>
        <v>1.6286644951140066E-3</v>
      </c>
      <c r="K28" s="141">
        <f t="shared" si="14"/>
        <v>3.1890195678240681E-3</v>
      </c>
      <c r="L28" s="141">
        <f t="shared" si="14"/>
        <v>2.0232757643935837E-3</v>
      </c>
      <c r="M28" s="141">
        <f t="shared" si="14"/>
        <v>9.7304660893256787E-4</v>
      </c>
      <c r="N28" s="141">
        <f t="shared" si="14"/>
        <v>0</v>
      </c>
      <c r="O28" s="141" t="str">
        <f t="shared" si="14"/>
        <v xml:space="preserve"> </v>
      </c>
      <c r="P28" s="124"/>
      <c r="Q28" s="141">
        <f t="shared" ref="Q28" si="15">IF(+Q$21=0," ",Q29/+Q$21)</f>
        <v>4.8562341180165731E-3</v>
      </c>
      <c r="R28" s="243" t="s">
        <v>11</v>
      </c>
      <c r="S28" s="558">
        <v>2.2444399102224035E-2</v>
      </c>
      <c r="T28" s="124"/>
      <c r="U28" s="134"/>
      <c r="V28" s="143"/>
      <c r="W28" s="558">
        <v>2.2444399102224035E-2</v>
      </c>
    </row>
    <row r="29" spans="1:25" s="44" customFormat="1" ht="35.1" customHeight="1">
      <c r="A29" s="453" t="s">
        <v>157</v>
      </c>
      <c r="B29" s="45"/>
      <c r="C29" s="45"/>
      <c r="D29" s="589">
        <v>-161.26</v>
      </c>
      <c r="E29" s="589">
        <v>0</v>
      </c>
      <c r="F29" s="589">
        <v>44.37</v>
      </c>
      <c r="G29" s="589">
        <v>0</v>
      </c>
      <c r="H29" s="568">
        <v>100</v>
      </c>
      <c r="I29" s="145">
        <v>125</v>
      </c>
      <c r="J29" s="145">
        <v>125</v>
      </c>
      <c r="K29" s="145">
        <v>125</v>
      </c>
      <c r="L29" s="145">
        <f>K29</f>
        <v>125</v>
      </c>
      <c r="M29" s="145">
        <v>50</v>
      </c>
      <c r="N29" s="145">
        <v>0</v>
      </c>
      <c r="O29" s="145">
        <v>0</v>
      </c>
      <c r="P29" s="48"/>
      <c r="Q29" s="139">
        <f t="shared" si="10"/>
        <v>533.11</v>
      </c>
      <c r="R29" s="243" t="s">
        <v>11</v>
      </c>
      <c r="S29" s="557">
        <v>2200</v>
      </c>
      <c r="T29" s="51"/>
      <c r="U29" s="85">
        <f>+Q29-S29</f>
        <v>-1666.8899999999999</v>
      </c>
      <c r="V29" s="143"/>
      <c r="W29" s="557">
        <f>'2021 TOC Monthly R&amp;E @ 12-31'!N54</f>
        <v>4431.7700000000004</v>
      </c>
    </row>
    <row r="30" spans="1:25" s="127" customFormat="1" ht="27" customHeight="1">
      <c r="A30" s="464"/>
      <c r="B30" s="148"/>
      <c r="C30" s="148"/>
      <c r="D30" s="590" t="str">
        <f>IF((+D$7+D$8)=0," ",D31/(+D$7+D$8))</f>
        <v xml:space="preserve"> </v>
      </c>
      <c r="E30" s="590">
        <f>IF((+E$7+E$8)=0," ",E31/(+E$7+E$8))</f>
        <v>2.9305327644677828</v>
      </c>
      <c r="F30" s="590">
        <f>IF((+F$7+F$8)=0," ",F31/(+F$7+F$8))</f>
        <v>0.42701334190644585</v>
      </c>
      <c r="G30" s="590">
        <f>IF((+G$7+G$8)=0," ",G31/(+G$7+G$8))</f>
        <v>0.20340956111555544</v>
      </c>
      <c r="H30" s="574">
        <f>IF((+H$7+H$8)=0," ",H31/(+H$7+H$8))</f>
        <v>0.20423141808077799</v>
      </c>
      <c r="I30" s="141">
        <f>IF((O33+I$7+I$8)=0," ",I31/(+I$7+I$8))</f>
        <v>7.8895067918679909E-2</v>
      </c>
      <c r="J30" s="141">
        <f>IF((P33+J$7+J$8)=0," ",J31/(+J$7+J$8))</f>
        <v>6.3791530944625405E-2</v>
      </c>
      <c r="K30" s="141">
        <f t="shared" ref="K30:O30" si="16">IF((+K$7+K$8)=0," ",K31/(+K$7+K$8))</f>
        <v>0.11850396714034238</v>
      </c>
      <c r="L30" s="141">
        <f t="shared" si="16"/>
        <v>8.015409268221621E-2</v>
      </c>
      <c r="M30" s="141">
        <f t="shared" si="16"/>
        <v>8.7087671499464822E-2</v>
      </c>
      <c r="N30" s="141">
        <f t="shared" si="16"/>
        <v>0.18599213518971197</v>
      </c>
      <c r="O30" s="141" t="str">
        <f t="shared" si="16"/>
        <v xml:space="preserve"> </v>
      </c>
      <c r="P30" s="124"/>
      <c r="Q30" s="141">
        <f>IF((+Q$7+Q$8)=0," ",(+Q31+Q32)/(+Q$7+Q$8))</f>
        <v>0.15323081928476831</v>
      </c>
      <c r="R30" s="243" t="s">
        <v>11</v>
      </c>
      <c r="S30" s="556">
        <f>IF((+S$7+S$8)=0," ",(+S31+S32)/(+S$7+S$8))</f>
        <v>0.14498170877366853</v>
      </c>
      <c r="T30" s="124"/>
      <c r="U30" s="134"/>
      <c r="V30" s="143"/>
      <c r="W30" s="556">
        <f>IF((+W$7+W$8)=0," ",(+W31+W32)/(+W$7+W$8))</f>
        <v>0.37359428414835599</v>
      </c>
    </row>
    <row r="31" spans="1:25" s="44" customFormat="1" ht="35.1" customHeight="1">
      <c r="A31" s="453" t="s">
        <v>158</v>
      </c>
      <c r="B31" s="149"/>
      <c r="C31" s="149"/>
      <c r="D31" s="589">
        <v>5212.58</v>
      </c>
      <c r="E31" s="589">
        <v>5357.6</v>
      </c>
      <c r="F31" s="589">
        <v>5844.19</v>
      </c>
      <c r="G31" s="589">
        <v>3686.9</v>
      </c>
      <c r="H31" s="568">
        <v>4116.08</v>
      </c>
      <c r="I31" s="145">
        <v>4327</v>
      </c>
      <c r="J31" s="145">
        <v>4896</v>
      </c>
      <c r="K31" s="145">
        <v>4645</v>
      </c>
      <c r="L31" s="145">
        <v>4952</v>
      </c>
      <c r="M31" s="145">
        <v>4475</v>
      </c>
      <c r="N31" s="145">
        <v>3500</v>
      </c>
      <c r="O31" s="145">
        <v>3625</v>
      </c>
      <c r="P31" s="48"/>
      <c r="Q31" s="139">
        <f>SUM(D31:O31)</f>
        <v>54637.35</v>
      </c>
      <c r="R31" s="243" t="s">
        <v>11</v>
      </c>
      <c r="S31" s="557">
        <v>54600</v>
      </c>
      <c r="T31" s="51"/>
      <c r="U31" s="85">
        <f>+Q31-S31</f>
        <v>37.349999999998545</v>
      </c>
      <c r="V31" s="143"/>
      <c r="W31" s="557">
        <f>'2021 TOC Monthly R&amp;E @ 12-31'!N56</f>
        <v>60476.569999999992</v>
      </c>
    </row>
    <row r="32" spans="1:25" s="127" customFormat="1" ht="27" customHeight="1">
      <c r="A32" s="464"/>
      <c r="B32" s="124"/>
      <c r="C32" s="124"/>
      <c r="D32" s="590" t="str">
        <f t="shared" ref="D32:O32" si="17">IF((+D$7+D$8)=0," ",D33/(+D$7+D$8))</f>
        <v xml:space="preserve"> </v>
      </c>
      <c r="E32" s="590">
        <f t="shared" si="17"/>
        <v>2.4040039382999669</v>
      </c>
      <c r="F32" s="590">
        <f t="shared" si="17"/>
        <v>0.32112639008636434</v>
      </c>
      <c r="G32" s="590">
        <f t="shared" si="17"/>
        <v>0.24247606962566551</v>
      </c>
      <c r="H32" s="574">
        <f t="shared" si="17"/>
        <v>0.21807085442095861</v>
      </c>
      <c r="I32" s="141">
        <f t="shared" si="17"/>
        <v>8.0134925699699155E-2</v>
      </c>
      <c r="J32" s="141">
        <f t="shared" si="17"/>
        <v>5.7263843648208468E-2</v>
      </c>
      <c r="K32" s="141">
        <f t="shared" si="17"/>
        <v>0.11212592800469423</v>
      </c>
      <c r="L32" s="141">
        <f t="shared" si="17"/>
        <v>7.1138375876078408E-2</v>
      </c>
      <c r="M32" s="141">
        <f t="shared" si="17"/>
        <v>8.5530796925172722E-2</v>
      </c>
      <c r="N32" s="141">
        <f t="shared" si="17"/>
        <v>0.23355298118822404</v>
      </c>
      <c r="O32" s="141" t="str">
        <f t="shared" si="17"/>
        <v xml:space="preserve"> </v>
      </c>
      <c r="P32" s="124"/>
      <c r="Q32" s="141">
        <f>IF((+Q$7+Q$8)=0," ",Q33/(+Q$7+Q$8))</f>
        <v>0.14790928791241212</v>
      </c>
      <c r="R32" s="243" t="s">
        <v>11</v>
      </c>
      <c r="S32" s="556">
        <f>IF((+S$7+S$8)=0," ",S33/(+S$7+S$8))</f>
        <v>0.11152416356877323</v>
      </c>
      <c r="T32" s="124"/>
      <c r="U32" s="134"/>
      <c r="V32" s="143"/>
      <c r="W32" s="556">
        <f>IF((+W$7+W$8)=0," ",W33/(+W$7+W$8))</f>
        <v>0.27123113838727952</v>
      </c>
    </row>
    <row r="33" spans="1:25" s="44" customFormat="1" ht="35.1" customHeight="1">
      <c r="A33" s="453" t="s">
        <v>159</v>
      </c>
      <c r="B33" s="268"/>
      <c r="C33" s="268"/>
      <c r="D33" s="368">
        <v>4395</v>
      </c>
      <c r="E33" s="368">
        <v>4395</v>
      </c>
      <c r="F33" s="368">
        <f t="shared" ref="F33:O33" si="18">E33</f>
        <v>4395</v>
      </c>
      <c r="G33" s="368">
        <f t="shared" si="18"/>
        <v>4395</v>
      </c>
      <c r="H33" s="575">
        <f t="shared" si="18"/>
        <v>4395</v>
      </c>
      <c r="I33" s="292">
        <f t="shared" si="18"/>
        <v>4395</v>
      </c>
      <c r="J33" s="292">
        <f t="shared" si="18"/>
        <v>4395</v>
      </c>
      <c r="K33" s="292">
        <f t="shared" si="18"/>
        <v>4395</v>
      </c>
      <c r="L33" s="292">
        <f t="shared" si="18"/>
        <v>4395</v>
      </c>
      <c r="M33" s="292">
        <f t="shared" si="18"/>
        <v>4395</v>
      </c>
      <c r="N33" s="292">
        <f>M33</f>
        <v>4395</v>
      </c>
      <c r="O33" s="292">
        <f t="shared" si="18"/>
        <v>4395</v>
      </c>
      <c r="P33" s="11"/>
      <c r="Q33" s="269">
        <f>SUM(D33:O33)</f>
        <v>52740</v>
      </c>
      <c r="R33" s="243" t="s">
        <v>11</v>
      </c>
      <c r="S33" s="560">
        <v>42000</v>
      </c>
      <c r="T33" s="51"/>
      <c r="U33" s="85">
        <f>+Q33-S33</f>
        <v>10740</v>
      </c>
      <c r="V33" s="143"/>
      <c r="W33" s="560">
        <f>'2021 TOC Monthly R&amp;E @ 12-31'!N61</f>
        <v>43906.46</v>
      </c>
      <c r="Y33" s="440">
        <f>SUM(D33:O33)</f>
        <v>52740</v>
      </c>
    </row>
    <row r="34" spans="1:25" s="127" customFormat="1" ht="27" customHeight="1">
      <c r="A34" s="464"/>
      <c r="B34" s="124"/>
      <c r="C34" s="124"/>
      <c r="D34" s="366" t="str">
        <f t="shared" ref="D34:O34" si="19">IF((+D$7+D$8)=0," ",D35/(+D$7+D$8))</f>
        <v xml:space="preserve"> </v>
      </c>
      <c r="E34" s="366">
        <f t="shared" si="19"/>
        <v>0.35154250082047916</v>
      </c>
      <c r="F34" s="366">
        <f t="shared" si="19"/>
        <v>3.1753152810860573E-2</v>
      </c>
      <c r="G34" s="366">
        <f t="shared" si="19"/>
        <v>0.10448704863314116</v>
      </c>
      <c r="H34" s="574">
        <f t="shared" si="19"/>
        <v>2.6396745063014787E-2</v>
      </c>
      <c r="I34" s="141">
        <f t="shared" si="19"/>
        <v>9.1166013310237937E-3</v>
      </c>
      <c r="J34" s="141">
        <f t="shared" si="19"/>
        <v>6.5146579804560263E-3</v>
      </c>
      <c r="K34" s="141">
        <f t="shared" si="19"/>
        <v>1.2756078271296272E-2</v>
      </c>
      <c r="L34" s="141">
        <f t="shared" si="19"/>
        <v>8.093103057574335E-3</v>
      </c>
      <c r="M34" s="141">
        <f t="shared" si="19"/>
        <v>9.7304660893256789E-3</v>
      </c>
      <c r="N34" s="141">
        <f t="shared" si="19"/>
        <v>2.6570305027101712E-2</v>
      </c>
      <c r="O34" s="141" t="str">
        <f t="shared" si="19"/>
        <v xml:space="preserve"> </v>
      </c>
      <c r="P34" s="124"/>
      <c r="Q34" s="141">
        <f>IF((+Q$7+Q$8)=0," ",Q35/(+Q$7+Q$8))</f>
        <v>2.0254513911578065E-2</v>
      </c>
      <c r="R34" s="243" t="s">
        <v>11</v>
      </c>
      <c r="S34" s="556">
        <f>IF((+S$7+S$8)=0," ",S35/(+S$7+S$8))</f>
        <v>2.3898035050451408E-2</v>
      </c>
      <c r="T34" s="124"/>
      <c r="U34" s="134"/>
      <c r="V34" s="143"/>
      <c r="W34" s="556">
        <f>IF((+W$7+W$8)=0," ",W35/(+W$7+W$8))</f>
        <v>0.11050838842664548</v>
      </c>
    </row>
    <row r="35" spans="1:25" s="44" customFormat="1" ht="35.1" customHeight="1">
      <c r="A35" s="453" t="s">
        <v>160</v>
      </c>
      <c r="B35" s="45"/>
      <c r="C35" s="45"/>
      <c r="D35" s="589">
        <v>219</v>
      </c>
      <c r="E35" s="589">
        <v>642.69000000000005</v>
      </c>
      <c r="F35" s="589">
        <v>434.58</v>
      </c>
      <c r="G35" s="589">
        <v>1893.88</v>
      </c>
      <c r="H35" s="568">
        <v>532</v>
      </c>
      <c r="I35" s="145">
        <v>500</v>
      </c>
      <c r="J35" s="145">
        <v>500</v>
      </c>
      <c r="K35" s="145">
        <v>500</v>
      </c>
      <c r="L35" s="145">
        <v>500</v>
      </c>
      <c r="M35" s="145">
        <v>500</v>
      </c>
      <c r="N35" s="145">
        <v>500</v>
      </c>
      <c r="O35" s="145">
        <v>500</v>
      </c>
      <c r="P35" s="48"/>
      <c r="Q35" s="139">
        <f t="shared" si="10"/>
        <v>7222.15</v>
      </c>
      <c r="R35" s="243" t="s">
        <v>11</v>
      </c>
      <c r="S35" s="557">
        <v>9000</v>
      </c>
      <c r="T35" s="51"/>
      <c r="U35" s="85">
        <f>+Q35-S35</f>
        <v>-1777.8500000000004</v>
      </c>
      <c r="V35" s="143"/>
      <c r="W35" s="557">
        <f>'2021 TOC Monthly R&amp;E @ 12-31'!N63</f>
        <v>17888.920000000002</v>
      </c>
    </row>
    <row r="36" spans="1:25" s="127" customFormat="1" ht="27" customHeight="1">
      <c r="A36" s="464"/>
      <c r="B36" s="124"/>
      <c r="C36" s="124"/>
      <c r="D36" s="590" t="str">
        <f t="shared" ref="D36:J36" si="20">IF((+D$7+D$8)=0," ",D37/(+D$7+D$8))</f>
        <v xml:space="preserve"> </v>
      </c>
      <c r="E36" s="590">
        <f t="shared" si="20"/>
        <v>4.7647959741822558E-2</v>
      </c>
      <c r="F36" s="590">
        <f t="shared" si="20"/>
        <v>1.0419254431471115E-2</v>
      </c>
      <c r="G36" s="590">
        <f t="shared" si="20"/>
        <v>5.8541833328735755E-2</v>
      </c>
      <c r="H36" s="574">
        <f t="shared" si="20"/>
        <v>7.9388706956435448E-2</v>
      </c>
      <c r="I36" s="141">
        <f t="shared" si="20"/>
        <v>2.2700337314249249E-2</v>
      </c>
      <c r="J36" s="141">
        <f t="shared" si="20"/>
        <v>1.6729641693811075E-2</v>
      </c>
      <c r="K36" s="141">
        <f>IF((+K$7+K$8)=0," ",K37/(+K$7+K$8))</f>
        <v>3.8268234813888816E-2</v>
      </c>
      <c r="L36" s="141">
        <f>IF((+L$7+L$8)=0," ",L37/(+L$7+L$8))</f>
        <v>2.3065343714086854E-2</v>
      </c>
      <c r="M36" s="141">
        <f>IF((+M$7+M$8)=0," ",M37/(+M$7+M$8))</f>
        <v>1.6444487690960397E-2</v>
      </c>
      <c r="N36" s="141">
        <f>IF((+N$7+N$8)=0," ",N37/(+N$7+N$8))</f>
        <v>2.6570305027101712E-2</v>
      </c>
      <c r="O36" s="141" t="str">
        <f>IF((+O$7+O$8)=0," ",O37/(+O$7+O$8))</f>
        <v xml:space="preserve"> </v>
      </c>
      <c r="P36" s="147"/>
      <c r="Q36" s="141">
        <f>IF((+Q$7+Q$8)=0," ",Q37/(+Q$7+Q$8))</f>
        <v>2.9250982766632853E-2</v>
      </c>
      <c r="R36" s="243" t="s">
        <v>11</v>
      </c>
      <c r="S36" s="556">
        <f>IF((+S$7+S$8)=0," ",S37/(+S$7+S$8))</f>
        <v>4.1423260754115773E-2</v>
      </c>
      <c r="T36" s="124"/>
      <c r="U36" s="134"/>
      <c r="V36" s="143"/>
      <c r="W36" s="556">
        <f>IF((+W$7+W$8)=0," ",W37/(+W$7+W$8))</f>
        <v>0.10579336747789497</v>
      </c>
    </row>
    <row r="37" spans="1:25" s="44" customFormat="1" ht="34.5" customHeight="1">
      <c r="A37" s="453" t="s">
        <v>161</v>
      </c>
      <c r="B37" s="45"/>
      <c r="C37" s="45"/>
      <c r="D37" s="589">
        <v>440.21</v>
      </c>
      <c r="E37" s="589">
        <v>87.11</v>
      </c>
      <c r="F37" s="589">
        <v>142.6</v>
      </c>
      <c r="G37" s="589">
        <v>1061.0999999999999</v>
      </c>
      <c r="H37" s="568">
        <v>1600</v>
      </c>
      <c r="I37" s="145">
        <v>1245</v>
      </c>
      <c r="J37" s="145">
        <v>1284</v>
      </c>
      <c r="K37" s="145">
        <v>1500</v>
      </c>
      <c r="L37" s="145">
        <v>1425</v>
      </c>
      <c r="M37" s="145">
        <v>845</v>
      </c>
      <c r="N37" s="145">
        <v>500</v>
      </c>
      <c r="O37" s="145">
        <v>300</v>
      </c>
      <c r="P37" s="138"/>
      <c r="Q37" s="139">
        <f t="shared" si="10"/>
        <v>10430.02</v>
      </c>
      <c r="R37" s="243" t="s">
        <v>11</v>
      </c>
      <c r="S37" s="557">
        <v>15600</v>
      </c>
      <c r="T37" s="51"/>
      <c r="U37" s="85">
        <f>+Q37-S37</f>
        <v>-5169.9799999999996</v>
      </c>
      <c r="V37" s="143"/>
      <c r="W37" s="557">
        <f>'2021 TOC Monthly R&amp;E @ 12-31'!N64</f>
        <v>17125.659999999996</v>
      </c>
    </row>
    <row r="38" spans="1:25" s="127" customFormat="1" ht="27" customHeight="1">
      <c r="A38" s="124"/>
      <c r="B38" s="124"/>
      <c r="C38" s="124"/>
      <c r="D38" s="590" t="str">
        <f t="shared" ref="D38:P38" si="21">IF((+D$7+D$8)=0," ",D39/(+D$7+D$8))</f>
        <v xml:space="preserve"> </v>
      </c>
      <c r="E38" s="590">
        <f t="shared" si="21"/>
        <v>0</v>
      </c>
      <c r="F38" s="590">
        <f t="shared" si="21"/>
        <v>0</v>
      </c>
      <c r="G38" s="590">
        <f t="shared" si="21"/>
        <v>0</v>
      </c>
      <c r="H38" s="141">
        <f t="shared" si="21"/>
        <v>0</v>
      </c>
      <c r="I38" s="141">
        <f t="shared" si="21"/>
        <v>0</v>
      </c>
      <c r="J38" s="141">
        <f t="shared" si="21"/>
        <v>0</v>
      </c>
      <c r="K38" s="141">
        <f t="shared" si="21"/>
        <v>0</v>
      </c>
      <c r="L38" s="141">
        <f t="shared" si="21"/>
        <v>0</v>
      </c>
      <c r="M38" s="141">
        <f t="shared" si="21"/>
        <v>0</v>
      </c>
      <c r="N38" s="141">
        <f t="shared" si="21"/>
        <v>0</v>
      </c>
      <c r="O38" s="141" t="str">
        <f t="shared" si="21"/>
        <v xml:space="preserve"> </v>
      </c>
      <c r="P38" s="147" t="str">
        <f t="shared" si="21"/>
        <v xml:space="preserve"> </v>
      </c>
      <c r="Q38" s="141">
        <f>IF((+Q$7+Q$8)=0," ",Q39/(+Q$7+Q$8))</f>
        <v>0</v>
      </c>
      <c r="R38" s="243" t="s">
        <v>11</v>
      </c>
      <c r="S38" s="558">
        <v>0</v>
      </c>
      <c r="T38" s="124"/>
      <c r="U38" s="134"/>
      <c r="V38" s="143"/>
      <c r="W38" s="558">
        <v>0</v>
      </c>
    </row>
    <row r="39" spans="1:25" s="153" customFormat="1" ht="33.75" customHeight="1">
      <c r="A39" s="268" t="s">
        <v>169</v>
      </c>
      <c r="B39" s="268"/>
      <c r="C39" s="268"/>
      <c r="D39" s="368">
        <v>0</v>
      </c>
      <c r="E39" s="368">
        <v>0</v>
      </c>
      <c r="F39" s="368">
        <v>0</v>
      </c>
      <c r="G39" s="368">
        <v>0</v>
      </c>
      <c r="H39" s="292">
        <v>0</v>
      </c>
      <c r="I39" s="292">
        <v>0</v>
      </c>
      <c r="J39" s="292">
        <v>0</v>
      </c>
      <c r="K39" s="292">
        <v>0</v>
      </c>
      <c r="L39" s="292">
        <v>0</v>
      </c>
      <c r="M39" s="292">
        <v>0</v>
      </c>
      <c r="N39" s="292">
        <v>0</v>
      </c>
      <c r="O39" s="292">
        <v>0</v>
      </c>
      <c r="P39" s="11"/>
      <c r="Q39" s="269">
        <f t="shared" si="10"/>
        <v>0</v>
      </c>
      <c r="R39" s="243" t="s">
        <v>11</v>
      </c>
      <c r="S39" s="560">
        <v>0</v>
      </c>
      <c r="T39" s="138"/>
      <c r="U39" s="85">
        <f>+Q39-S39</f>
        <v>0</v>
      </c>
      <c r="V39" s="143"/>
      <c r="W39" s="560">
        <v>0</v>
      </c>
    </row>
    <row r="40" spans="1:25" s="127" customFormat="1" ht="27" customHeight="1">
      <c r="A40" s="464"/>
      <c r="B40" s="124"/>
      <c r="C40" s="124"/>
      <c r="D40" s="366" t="str">
        <f t="shared" ref="D40:O40" si="22">IF((+D$7+D$8)=0," ",D41/(+D$7+D$8))</f>
        <v xml:space="preserve"> </v>
      </c>
      <c r="E40" s="366">
        <f t="shared" si="22"/>
        <v>3.386390985668964E-2</v>
      </c>
      <c r="F40" s="366">
        <f t="shared" si="22"/>
        <v>0</v>
      </c>
      <c r="G40" s="366">
        <f t="shared" si="22"/>
        <v>0</v>
      </c>
      <c r="H40" s="141">
        <f t="shared" si="22"/>
        <v>9.923588369554431E-3</v>
      </c>
      <c r="I40" s="141">
        <f t="shared" si="22"/>
        <v>3.6466405324095176E-3</v>
      </c>
      <c r="J40" s="141">
        <f t="shared" si="22"/>
        <v>2.6058631921824105E-3</v>
      </c>
      <c r="K40" s="141">
        <f t="shared" si="22"/>
        <v>5.1024313085185086E-3</v>
      </c>
      <c r="L40" s="141">
        <f t="shared" si="22"/>
        <v>3.2372412230297341E-3</v>
      </c>
      <c r="M40" s="141">
        <f t="shared" si="22"/>
        <v>3.8921864357302715E-3</v>
      </c>
      <c r="N40" s="141">
        <f t="shared" si="22"/>
        <v>1.0628122010840685E-2</v>
      </c>
      <c r="O40" s="141" t="str">
        <f t="shared" si="22"/>
        <v xml:space="preserve"> </v>
      </c>
      <c r="P40" s="124"/>
      <c r="Q40" s="141">
        <f>IF((+Q$7+Q$8)=0," ",Q41/(+Q$7+Q$8))</f>
        <v>4.6971715784198268E-3</v>
      </c>
      <c r="R40" s="243" t="s">
        <v>11</v>
      </c>
      <c r="S40" s="558">
        <v>5.5762081784386614E-3</v>
      </c>
      <c r="T40" s="124"/>
      <c r="U40" s="134"/>
      <c r="V40" s="143"/>
      <c r="W40" s="558">
        <v>5.5762081784386614E-3</v>
      </c>
    </row>
    <row r="41" spans="1:25" s="44" customFormat="1" ht="35.1" customHeight="1">
      <c r="A41" s="453" t="s">
        <v>163</v>
      </c>
      <c r="B41" s="45"/>
      <c r="C41" s="45"/>
      <c r="D41" s="589">
        <v>12.96</v>
      </c>
      <c r="E41" s="589">
        <v>61.91</v>
      </c>
      <c r="F41" s="589">
        <v>0</v>
      </c>
      <c r="G41" s="589">
        <v>0</v>
      </c>
      <c r="H41" s="145">
        <v>200</v>
      </c>
      <c r="I41" s="145">
        <v>200</v>
      </c>
      <c r="J41" s="145">
        <v>200</v>
      </c>
      <c r="K41" s="145">
        <v>200</v>
      </c>
      <c r="L41" s="145">
        <v>200</v>
      </c>
      <c r="M41" s="145">
        <v>200</v>
      </c>
      <c r="N41" s="145">
        <v>200</v>
      </c>
      <c r="O41" s="145">
        <v>200</v>
      </c>
      <c r="P41" s="48"/>
      <c r="Q41" s="139">
        <f>SUM(D41:O41)</f>
        <v>1674.87</v>
      </c>
      <c r="R41" s="243" t="s">
        <v>11</v>
      </c>
      <c r="S41" s="557">
        <v>2100</v>
      </c>
      <c r="T41" s="51"/>
      <c r="U41" s="85">
        <f>+Q41-S41</f>
        <v>-425.13000000000011</v>
      </c>
      <c r="V41" s="143"/>
      <c r="W41" s="557">
        <f>'2021 TOC Monthly R&amp;E @ 12-31'!N71</f>
        <v>699.01</v>
      </c>
    </row>
    <row r="42" spans="1:25" s="127" customFormat="1" ht="27" customHeight="1">
      <c r="B42" s="124"/>
      <c r="C42" s="124"/>
      <c r="D42" s="590" t="str">
        <f t="shared" ref="D42:O42" si="23">IF((+D$7+D$8)=0," ",D43/(+D$7+D$8))</f>
        <v xml:space="preserve"> </v>
      </c>
      <c r="E42" s="590">
        <f t="shared" si="23"/>
        <v>4.9775735696313314E-4</v>
      </c>
      <c r="F42" s="590">
        <f t="shared" si="23"/>
        <v>5.8030717072671739E-2</v>
      </c>
      <c r="G42" s="590">
        <f t="shared" si="23"/>
        <v>6.3810653499213809E-3</v>
      </c>
      <c r="H42" s="141">
        <f t="shared" si="23"/>
        <v>1.3644934008137342E-2</v>
      </c>
      <c r="I42" s="141">
        <f t="shared" si="23"/>
        <v>8.6607712644726047E-3</v>
      </c>
      <c r="J42" s="141">
        <f t="shared" si="23"/>
        <v>3.2573289902280132E-3</v>
      </c>
      <c r="K42" s="141">
        <f t="shared" si="23"/>
        <v>6.3780391356481362E-3</v>
      </c>
      <c r="L42" s="141">
        <f t="shared" si="23"/>
        <v>5.2605169874233183E-3</v>
      </c>
      <c r="M42" s="141">
        <f t="shared" si="23"/>
        <v>6.8113262625279754E-3</v>
      </c>
      <c r="N42" s="141">
        <f t="shared" si="23"/>
        <v>1.3285152513550856E-2</v>
      </c>
      <c r="O42" s="141" t="str">
        <f t="shared" si="23"/>
        <v xml:space="preserve"> </v>
      </c>
      <c r="P42" s="124"/>
      <c r="Q42" s="141">
        <f>IF((+Q$7+Q$8)=0," ",Q43/(+Q$7+Q$8))</f>
        <v>9.6948172013397657E-3</v>
      </c>
      <c r="R42" s="243" t="s">
        <v>11</v>
      </c>
      <c r="S42" s="558">
        <v>9.8247477429633558E-3</v>
      </c>
      <c r="T42" s="124"/>
      <c r="U42" s="134"/>
      <c r="V42" s="143"/>
      <c r="W42" s="558">
        <v>9.8247477429633558E-3</v>
      </c>
    </row>
    <row r="43" spans="1:25" s="44" customFormat="1" ht="35.1" customHeight="1">
      <c r="A43" s="465" t="s">
        <v>162</v>
      </c>
      <c r="B43" s="45"/>
      <c r="C43" s="45"/>
      <c r="D43" s="589">
        <v>121.09</v>
      </c>
      <c r="E43" s="589">
        <v>0.91</v>
      </c>
      <c r="F43" s="589">
        <v>794.22</v>
      </c>
      <c r="G43" s="589">
        <v>115.66</v>
      </c>
      <c r="H43" s="145">
        <v>275</v>
      </c>
      <c r="I43" s="145">
        <v>475</v>
      </c>
      <c r="J43" s="145">
        <v>250</v>
      </c>
      <c r="K43" s="145">
        <v>250</v>
      </c>
      <c r="L43" s="145">
        <v>325</v>
      </c>
      <c r="M43" s="145">
        <v>350</v>
      </c>
      <c r="N43" s="145">
        <v>250</v>
      </c>
      <c r="O43" s="145">
        <v>250</v>
      </c>
      <c r="P43" s="48"/>
      <c r="Q43" s="139">
        <f t="shared" si="10"/>
        <v>3456.88</v>
      </c>
      <c r="R43" s="243" t="s">
        <v>11</v>
      </c>
      <c r="S43" s="557">
        <v>3700</v>
      </c>
      <c r="T43" s="51"/>
      <c r="U43" s="85">
        <f>+Q43-S43</f>
        <v>-243.11999999999989</v>
      </c>
      <c r="V43" s="143"/>
      <c r="W43" s="557">
        <f>'2021 TOC Monthly R&amp;E @ 12-31'!N76</f>
        <v>4980.1999999999989</v>
      </c>
    </row>
    <row r="44" spans="1:25" s="127" customFormat="1" ht="27" customHeight="1">
      <c r="A44" s="464"/>
      <c r="B44" s="124"/>
      <c r="C44" s="124"/>
      <c r="D44" s="590" t="str">
        <f t="shared" ref="D44:O48" si="24">IF((+D$7+D$8)=0," ",D45/(+D$7+D$8))</f>
        <v xml:space="preserve"> </v>
      </c>
      <c r="E44" s="590">
        <f t="shared" si="24"/>
        <v>6.5638332786347228E-3</v>
      </c>
      <c r="F44" s="590">
        <f t="shared" si="24"/>
        <v>4.0540836755271731E-2</v>
      </c>
      <c r="G44" s="590">
        <f t="shared" si="24"/>
        <v>1.5999558632865299E-2</v>
      </c>
      <c r="H44" s="141">
        <f t="shared" si="24"/>
        <v>0</v>
      </c>
      <c r="I44" s="141">
        <f t="shared" si="24"/>
        <v>9.6635974108852211E-3</v>
      </c>
      <c r="J44" s="141">
        <f t="shared" si="24"/>
        <v>0</v>
      </c>
      <c r="K44" s="141">
        <f t="shared" si="24"/>
        <v>0</v>
      </c>
      <c r="L44" s="141">
        <f t="shared" si="24"/>
        <v>5.2605169874233183E-3</v>
      </c>
      <c r="M44" s="141">
        <f t="shared" si="24"/>
        <v>0</v>
      </c>
      <c r="N44" s="141">
        <f t="shared" si="24"/>
        <v>0</v>
      </c>
      <c r="O44" s="141" t="str">
        <f t="shared" si="24"/>
        <v xml:space="preserve"> </v>
      </c>
      <c r="P44" s="124"/>
      <c r="Q44" s="141">
        <f>IF((+Q$7+Q$8)=0," ",Q45/(+Q$7+Q$8))</f>
        <v>7.6125326338538392E-3</v>
      </c>
      <c r="R44" s="243" t="s">
        <v>11</v>
      </c>
      <c r="S44" s="558">
        <v>1.3542219861922463E-2</v>
      </c>
      <c r="T44" s="124"/>
      <c r="U44" s="134"/>
      <c r="V44" s="143"/>
      <c r="W44" s="558">
        <v>1.3542219861922463E-2</v>
      </c>
    </row>
    <row r="45" spans="1:25" s="44" customFormat="1" ht="35.1" customHeight="1">
      <c r="A45" s="453" t="s">
        <v>164</v>
      </c>
      <c r="B45" s="45"/>
      <c r="C45" s="45"/>
      <c r="D45" s="589">
        <v>2.5499999999999998</v>
      </c>
      <c r="E45" s="589">
        <v>12</v>
      </c>
      <c r="F45" s="589">
        <v>554.85</v>
      </c>
      <c r="G45" s="589">
        <v>290</v>
      </c>
      <c r="H45" s="497">
        <f>'[1]Input Wrksht '!J23+'[1]Input Wrksht '!J29+'[1]Input Wrksht '!J19</f>
        <v>0</v>
      </c>
      <c r="I45" s="145">
        <v>530</v>
      </c>
      <c r="J45" s="497">
        <f>'[1]Input Wrksht '!L23+'[1]Input Wrksht '!L29+'[1]Input Wrksht '!L19</f>
        <v>0</v>
      </c>
      <c r="K45" s="497">
        <v>0</v>
      </c>
      <c r="L45" s="145">
        <v>325</v>
      </c>
      <c r="M45" s="145">
        <v>0</v>
      </c>
      <c r="N45" s="145">
        <v>0</v>
      </c>
      <c r="O45" s="145">
        <v>1000</v>
      </c>
      <c r="P45" s="48"/>
      <c r="Q45" s="139">
        <f t="shared" si="10"/>
        <v>2714.4</v>
      </c>
      <c r="R45" s="243" t="s">
        <v>11</v>
      </c>
      <c r="S45" s="557">
        <v>5100</v>
      </c>
      <c r="T45" s="51"/>
      <c r="U45" s="85">
        <f>+Q45-S45</f>
        <v>-2385.6</v>
      </c>
      <c r="V45" s="143"/>
      <c r="W45" s="557">
        <f>+'2021 TOC Monthly R&amp;E @ 12-31'!N85</f>
        <v>1706.81</v>
      </c>
    </row>
    <row r="46" spans="1:25" s="127" customFormat="1" ht="27" customHeight="1">
      <c r="A46" s="124"/>
      <c r="B46" s="124"/>
      <c r="C46" s="124"/>
      <c r="D46" s="590" t="str">
        <f t="shared" si="24"/>
        <v xml:space="preserve"> </v>
      </c>
      <c r="E46" s="590">
        <f>IF((+E$7+E$8)=0," ",E47/(+E$7+E$8))</f>
        <v>9.8457499179520833E-2</v>
      </c>
      <c r="F46" s="590">
        <f t="shared" si="24"/>
        <v>1.3151934064970554E-2</v>
      </c>
      <c r="G46" s="590">
        <f t="shared" si="24"/>
        <v>9.9307605307439803E-3</v>
      </c>
      <c r="H46" s="141">
        <f t="shared" si="24"/>
        <v>8.9312295325989881E-3</v>
      </c>
      <c r="I46" s="141">
        <f t="shared" si="24"/>
        <v>3.2819764791685658E-3</v>
      </c>
      <c r="J46" s="141">
        <f t="shared" si="24"/>
        <v>2.3452768729641696E-3</v>
      </c>
      <c r="K46" s="141">
        <f t="shared" si="24"/>
        <v>4.5921881776666579E-3</v>
      </c>
      <c r="L46" s="141">
        <f t="shared" si="24"/>
        <v>2.9135171007267607E-3</v>
      </c>
      <c r="M46" s="141">
        <f t="shared" si="24"/>
        <v>3.5029677921572444E-3</v>
      </c>
      <c r="N46" s="141">
        <f t="shared" si="24"/>
        <v>9.5653098097566152E-3</v>
      </c>
      <c r="O46" s="141" t="str">
        <f t="shared" si="24"/>
        <v xml:space="preserve"> </v>
      </c>
      <c r="P46" s="124"/>
      <c r="Q46" s="141">
        <f>IF((+Q$7+Q$8)=0," ",Q47/(+Q$7+Q$8))</f>
        <v>6.0577182762762641E-3</v>
      </c>
      <c r="R46" s="243" t="s">
        <v>11</v>
      </c>
      <c r="S46" s="558">
        <v>6.3728093467870419E-3</v>
      </c>
      <c r="T46" s="124"/>
      <c r="U46" s="134"/>
      <c r="V46" s="143"/>
      <c r="W46" s="558">
        <v>6.3728093467870419E-3</v>
      </c>
    </row>
    <row r="47" spans="1:25" s="127" customFormat="1" ht="27" customHeight="1">
      <c r="A47" s="453" t="s">
        <v>165</v>
      </c>
      <c r="B47" s="124"/>
      <c r="C47" s="124"/>
      <c r="D47" s="589">
        <v>180</v>
      </c>
      <c r="E47" s="589">
        <f>D47</f>
        <v>180</v>
      </c>
      <c r="F47" s="589">
        <f t="shared" ref="F47:O47" si="25">E47</f>
        <v>180</v>
      </c>
      <c r="G47" s="589">
        <f t="shared" si="25"/>
        <v>180</v>
      </c>
      <c r="H47" s="145">
        <f t="shared" si="25"/>
        <v>180</v>
      </c>
      <c r="I47" s="145">
        <f t="shared" si="25"/>
        <v>180</v>
      </c>
      <c r="J47" s="145">
        <f t="shared" si="25"/>
        <v>180</v>
      </c>
      <c r="K47" s="145">
        <f t="shared" si="25"/>
        <v>180</v>
      </c>
      <c r="L47" s="145">
        <f t="shared" si="25"/>
        <v>180</v>
      </c>
      <c r="M47" s="145">
        <f t="shared" si="25"/>
        <v>180</v>
      </c>
      <c r="N47" s="145">
        <f t="shared" si="25"/>
        <v>180</v>
      </c>
      <c r="O47" s="145">
        <f t="shared" si="25"/>
        <v>180</v>
      </c>
      <c r="P47" s="48"/>
      <c r="Q47" s="139">
        <f t="shared" ref="Q47" si="26">SUM(D47:O47)</f>
        <v>2160</v>
      </c>
      <c r="R47" s="243"/>
      <c r="S47" s="557">
        <v>2400</v>
      </c>
      <c r="T47" s="124"/>
      <c r="U47" s="134"/>
      <c r="V47" s="143"/>
      <c r="W47" s="557">
        <f>'2021 TOC Monthly R&amp;E @ 12-31'!N88</f>
        <v>1980</v>
      </c>
    </row>
    <row r="48" spans="1:25" s="127" customFormat="1" ht="27" customHeight="1">
      <c r="A48" s="124"/>
      <c r="B48" s="124"/>
      <c r="C48" s="124"/>
      <c r="D48" s="590" t="str">
        <f>IF((+D$7+D$8)=0," ",D49/(+D$7+D$8))</f>
        <v xml:space="preserve"> </v>
      </c>
      <c r="E48" s="591">
        <f t="shared" ref="E48:F48" si="27">IF((+E$7+E$8)=0," ",E49/(+E$7+E$8))</f>
        <v>-2.0161907887539656E-2</v>
      </c>
      <c r="F48" s="591">
        <f t="shared" si="27"/>
        <v>0</v>
      </c>
      <c r="G48" s="590">
        <f t="shared" si="24"/>
        <v>0</v>
      </c>
      <c r="H48" s="141">
        <f t="shared" si="24"/>
        <v>0</v>
      </c>
      <c r="I48" s="141">
        <f t="shared" si="24"/>
        <v>0</v>
      </c>
      <c r="J48" s="141">
        <f t="shared" si="24"/>
        <v>0</v>
      </c>
      <c r="K48" s="141">
        <f t="shared" si="24"/>
        <v>0</v>
      </c>
      <c r="L48" s="141">
        <f t="shared" si="24"/>
        <v>0</v>
      </c>
      <c r="M48" s="141">
        <f t="shared" si="24"/>
        <v>0</v>
      </c>
      <c r="N48" s="498">
        <f t="shared" si="24"/>
        <v>0</v>
      </c>
      <c r="O48" s="498" t="str">
        <f t="shared" si="24"/>
        <v xml:space="preserve"> </v>
      </c>
      <c r="P48" s="124"/>
      <c r="Q48" s="141">
        <f>IF((+Q$7+Q$8)=0," ",Q49/(+Q$7+Q$8))</f>
        <v>6.8177375600127777E-5</v>
      </c>
      <c r="R48" s="243" t="s">
        <v>11</v>
      </c>
      <c r="S48" s="558">
        <v>1.3276686139139671E-3</v>
      </c>
      <c r="T48" s="124"/>
      <c r="U48" s="134"/>
      <c r="V48" s="143"/>
      <c r="W48" s="558">
        <v>1.3276686139139671E-3</v>
      </c>
    </row>
    <row r="49" spans="1:23" s="44" customFormat="1" ht="35.1" customHeight="1">
      <c r="A49" s="453" t="s">
        <v>166</v>
      </c>
      <c r="B49" s="45"/>
      <c r="C49" s="45"/>
      <c r="D49" s="592">
        <v>61.17</v>
      </c>
      <c r="E49" s="592">
        <v>-36.86</v>
      </c>
      <c r="F49" s="592">
        <v>0</v>
      </c>
      <c r="G49" s="589">
        <v>0</v>
      </c>
      <c r="H49" s="145">
        <v>0</v>
      </c>
      <c r="I49" s="145">
        <v>0</v>
      </c>
      <c r="J49" s="145">
        <v>0</v>
      </c>
      <c r="K49" s="145">
        <v>0</v>
      </c>
      <c r="L49" s="145">
        <f>H49</f>
        <v>0</v>
      </c>
      <c r="M49" s="145">
        <f>G49</f>
        <v>0</v>
      </c>
      <c r="N49" s="497">
        <v>0</v>
      </c>
      <c r="O49" s="497">
        <v>0</v>
      </c>
      <c r="P49" s="48"/>
      <c r="Q49" s="139">
        <f t="shared" si="10"/>
        <v>24.310000000000002</v>
      </c>
      <c r="R49" s="243" t="s">
        <v>11</v>
      </c>
      <c r="S49" s="557">
        <v>500</v>
      </c>
      <c r="T49" s="51"/>
      <c r="U49" s="85">
        <f>+Q49-S49</f>
        <v>-475.69</v>
      </c>
      <c r="V49" s="143"/>
      <c r="W49" s="557">
        <f>'2021 TOC Monthly R&amp;E @ 12-31'!N89+'2021 TOC Monthly R&amp;E @ 12-31'!N79</f>
        <v>84.3</v>
      </c>
    </row>
    <row r="50" spans="1:23" s="127" customFormat="1" ht="27" customHeight="1">
      <c r="A50" s="45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132"/>
      <c r="R50" s="132"/>
      <c r="S50" s="132"/>
      <c r="T50" s="132"/>
      <c r="U50" s="132"/>
      <c r="V50" s="143"/>
      <c r="W50" s="132"/>
    </row>
    <row r="51" spans="1:23" s="44" customFormat="1" ht="35.1" customHeight="1" thickBot="1">
      <c r="A51" s="271"/>
      <c r="B51" s="62" t="s">
        <v>63</v>
      </c>
      <c r="C51" s="62"/>
      <c r="D51" s="380">
        <f>+D49+D47+D45+D43+D41+D39+D37+D35+D33+D31+D29+D27+D25+D23+D21+D19</f>
        <v>20599.97</v>
      </c>
      <c r="E51" s="380">
        <f t="shared" ref="E51:O51" si="28">+E49+E47+E45+E43+E41+E39+E37+E35+E33+E31+E29+E27+E25+E23+E21+E19</f>
        <v>21399.200000000001</v>
      </c>
      <c r="F51" s="380">
        <f t="shared" si="28"/>
        <v>29137.5</v>
      </c>
      <c r="G51" s="380">
        <f t="shared" si="28"/>
        <v>25364.510000000002</v>
      </c>
      <c r="H51" s="293">
        <f>+H49+H47+H45+H43+H41+H39+H37+H35+H33+H31+H29+H27+H25+H23+H21+H19</f>
        <v>26588.080000000002</v>
      </c>
      <c r="I51" s="293">
        <f t="shared" si="28"/>
        <v>46362</v>
      </c>
      <c r="J51" s="293">
        <f t="shared" si="28"/>
        <v>61815</v>
      </c>
      <c r="K51" s="293">
        <f t="shared" si="28"/>
        <v>35592</v>
      </c>
      <c r="L51" s="293">
        <f t="shared" si="28"/>
        <v>45397</v>
      </c>
      <c r="M51" s="293">
        <f t="shared" si="28"/>
        <v>39417</v>
      </c>
      <c r="N51" s="293">
        <f t="shared" si="28"/>
        <v>21875</v>
      </c>
      <c r="O51" s="293">
        <f t="shared" si="28"/>
        <v>19050</v>
      </c>
      <c r="P51" s="293" t="s">
        <v>11</v>
      </c>
      <c r="Q51" s="295">
        <f>+Q49+Q47+Q45+Q43+Q41+Q39+Q37+Q35+Q33+Q31+Q29+Q27+Q25+Q23+Q21+Q19</f>
        <v>392597.26</v>
      </c>
      <c r="R51" s="243" t="s">
        <v>11</v>
      </c>
      <c r="S51" s="167">
        <f>+S49+S47+S45+S41+S43+S39+S37+S35+S33+S31+S29+S27+S25+S23+S21+S19</f>
        <v>389300</v>
      </c>
      <c r="T51" s="124"/>
      <c r="U51" s="134"/>
      <c r="V51" s="143"/>
      <c r="W51" s="167">
        <f>ROUND((+W49+W47+W45+W41+W43+W39+W37+W35+W33+W31+W29+W27+W25+W23+W21+W19),-1)</f>
        <v>405240</v>
      </c>
    </row>
    <row r="52" spans="1:23" s="51" customFormat="1" ht="27" thickTop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243" t="s">
        <v>11</v>
      </c>
      <c r="S52" s="56"/>
      <c r="T52" s="124"/>
      <c r="U52" s="134"/>
      <c r="V52" s="143"/>
      <c r="W52" s="56"/>
    </row>
    <row r="53" spans="1:23" s="85" customFormat="1" ht="50.1" customHeight="1" thickBot="1">
      <c r="A53" s="272"/>
      <c r="B53" s="273" t="s">
        <v>65</v>
      </c>
      <c r="C53" s="274"/>
      <c r="D53" s="385">
        <f t="shared" ref="D53:O53" si="29">+D13-D51</f>
        <v>-20599.97</v>
      </c>
      <c r="E53" s="385">
        <f t="shared" si="29"/>
        <v>-19662.41</v>
      </c>
      <c r="F53" s="386">
        <f t="shared" si="29"/>
        <v>-15843.859999999999</v>
      </c>
      <c r="G53" s="386">
        <f t="shared" si="29"/>
        <v>-7239.010000000002</v>
      </c>
      <c r="H53" s="166">
        <f>+H13-H51</f>
        <v>-6234.0800000000017</v>
      </c>
      <c r="I53" s="166">
        <f t="shared" si="29"/>
        <v>10683</v>
      </c>
      <c r="J53" s="166">
        <f t="shared" si="29"/>
        <v>16335</v>
      </c>
      <c r="K53" s="166">
        <f t="shared" si="29"/>
        <v>3605</v>
      </c>
      <c r="L53" s="166">
        <f t="shared" si="29"/>
        <v>16384</v>
      </c>
      <c r="M53" s="166">
        <f t="shared" si="29"/>
        <v>11968</v>
      </c>
      <c r="N53" s="166">
        <f t="shared" si="29"/>
        <v>-3057</v>
      </c>
      <c r="O53" s="166">
        <f t="shared" si="29"/>
        <v>-19050</v>
      </c>
      <c r="P53" s="71"/>
      <c r="Q53" s="234">
        <f>+Q13-Q51</f>
        <v>-32711.329999999958</v>
      </c>
      <c r="R53" s="243" t="s">
        <v>11</v>
      </c>
      <c r="S53" s="506">
        <f>+S13-S51</f>
        <v>0</v>
      </c>
      <c r="T53" s="124"/>
      <c r="U53" s="134"/>
      <c r="V53" s="143"/>
      <c r="W53" s="506">
        <f>+W13-W51</f>
        <v>-167660</v>
      </c>
    </row>
    <row r="54" spans="1:23" s="15" customFormat="1" ht="27" thickTop="1">
      <c r="A54" s="172"/>
      <c r="B54" s="172"/>
      <c r="C54" s="172"/>
      <c r="D54" s="172"/>
      <c r="E54" s="172"/>
      <c r="F54" s="172"/>
      <c r="G54" s="172"/>
      <c r="H54" s="172">
        <f>H53+14700-5000</f>
        <v>3465.9199999999983</v>
      </c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62"/>
      <c r="T54" s="124"/>
      <c r="U54" s="134"/>
      <c r="V54" s="143"/>
      <c r="W54" s="162"/>
    </row>
    <row r="55" spans="1:23" s="85" customFormat="1" ht="49.5" customHeight="1" thickBot="1">
      <c r="A55" s="275"/>
      <c r="B55" s="276" t="s">
        <v>66</v>
      </c>
      <c r="C55" s="277"/>
      <c r="D55" s="388"/>
      <c r="E55" s="389">
        <f>+D53+E53</f>
        <v>-40262.380000000005</v>
      </c>
      <c r="F55" s="389">
        <f>+E55+F53</f>
        <v>-56106.240000000005</v>
      </c>
      <c r="G55" s="389">
        <f t="shared" ref="G55:N55" si="30">+F55+G53</f>
        <v>-63345.250000000007</v>
      </c>
      <c r="H55" s="175">
        <f t="shared" si="30"/>
        <v>-69579.330000000016</v>
      </c>
      <c r="I55" s="175">
        <f t="shared" si="30"/>
        <v>-58896.330000000016</v>
      </c>
      <c r="J55" s="175">
        <f t="shared" si="30"/>
        <v>-42561.330000000016</v>
      </c>
      <c r="K55" s="175">
        <f t="shared" si="30"/>
        <v>-38956.330000000016</v>
      </c>
      <c r="L55" s="175">
        <f t="shared" si="30"/>
        <v>-22572.330000000016</v>
      </c>
      <c r="M55" s="175">
        <f t="shared" si="30"/>
        <v>-10604.330000000016</v>
      </c>
      <c r="N55" s="175">
        <f t="shared" si="30"/>
        <v>-13661.330000000016</v>
      </c>
      <c r="O55" s="234">
        <f>+N55+O53</f>
        <v>-32711.330000000016</v>
      </c>
      <c r="P55" s="176"/>
      <c r="Q55" s="177"/>
      <c r="R55" s="177"/>
      <c r="S55" s="177"/>
      <c r="T55" s="177"/>
      <c r="V55" s="561" t="s">
        <v>319</v>
      </c>
      <c r="W55" s="562">
        <f>'2021 TOC Monthly R&amp;E @ 12-31'!N104</f>
        <v>180000</v>
      </c>
    </row>
    <row r="56" spans="1:23" s="85" customFormat="1" ht="49.5" customHeight="1" thickTop="1" thickBot="1">
      <c r="A56" s="171"/>
      <c r="B56" s="171"/>
      <c r="C56" s="171"/>
      <c r="D56" s="171"/>
      <c r="E56" s="175"/>
      <c r="F56" s="175"/>
      <c r="G56" s="175"/>
      <c r="H56" s="175"/>
      <c r="I56" s="175"/>
      <c r="J56" s="175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V56" s="563"/>
      <c r="W56" s="564"/>
    </row>
    <row r="57" spans="1:23" s="15" customFormat="1" ht="39" customHeight="1" thickBot="1">
      <c r="A57" s="173"/>
      <c r="B57" s="173"/>
      <c r="C57" s="173"/>
      <c r="D57" s="173"/>
      <c r="E57" s="173"/>
      <c r="F57" s="173"/>
      <c r="G57" s="173"/>
      <c r="H57" s="173"/>
      <c r="I57" s="173"/>
      <c r="J57" s="173"/>
      <c r="K57" s="175"/>
      <c r="L57" s="175"/>
      <c r="M57" s="175"/>
      <c r="N57" s="173"/>
      <c r="O57" s="173"/>
      <c r="P57" s="173"/>
      <c r="Q57" s="173"/>
      <c r="R57" s="132"/>
      <c r="S57" s="565"/>
      <c r="T57" s="565"/>
      <c r="U57" s="565"/>
      <c r="V57" s="566" t="s">
        <v>175</v>
      </c>
      <c r="W57" s="567">
        <f>SUM(W53:W55)</f>
        <v>12340</v>
      </c>
    </row>
    <row r="58" spans="1:23" s="15" customFormat="1" ht="27" customHeight="1">
      <c r="A58" s="173"/>
      <c r="E58" s="175"/>
      <c r="F58" s="175"/>
      <c r="G58" s="175"/>
      <c r="H58" s="175"/>
      <c r="I58" s="175"/>
      <c r="J58" s="175"/>
      <c r="K58" s="175"/>
      <c r="L58" s="175"/>
      <c r="M58" s="175"/>
      <c r="N58" s="173"/>
      <c r="O58" s="173"/>
      <c r="P58" s="173"/>
      <c r="Q58" s="173"/>
      <c r="R58" s="132"/>
      <c r="S58" s="51"/>
      <c r="T58" s="51"/>
      <c r="U58" s="51"/>
      <c r="W58" s="51"/>
    </row>
    <row r="59" spans="1:23" s="15" customFormat="1" ht="27" customHeight="1">
      <c r="A59" s="173"/>
      <c r="E59" s="175"/>
      <c r="F59" s="175"/>
      <c r="G59" s="175"/>
      <c r="H59" s="175"/>
      <c r="I59" s="175"/>
      <c r="J59" s="175"/>
      <c r="K59" s="175"/>
      <c r="L59" s="175"/>
      <c r="M59" s="175"/>
      <c r="N59" s="173"/>
      <c r="O59" s="173"/>
      <c r="P59" s="11"/>
      <c r="Q59" s="173"/>
      <c r="R59" s="132"/>
      <c r="S59" s="51"/>
      <c r="T59" s="51"/>
      <c r="U59" s="51"/>
      <c r="W59" s="51"/>
    </row>
    <row r="60" spans="1:23" s="15" customFormat="1">
      <c r="A60" s="173"/>
      <c r="G60" s="175"/>
      <c r="H60" s="175"/>
      <c r="I60" s="175"/>
      <c r="J60" s="175"/>
      <c r="K60" s="175"/>
      <c r="L60" s="175"/>
      <c r="M60" s="175"/>
      <c r="N60" s="173"/>
      <c r="O60" s="173"/>
      <c r="P60" s="11"/>
      <c r="Q60" s="173"/>
      <c r="R60" s="132"/>
      <c r="S60" s="51"/>
      <c r="T60" s="51"/>
      <c r="U60" s="51"/>
      <c r="W60" s="51"/>
    </row>
    <row r="61" spans="1:23" s="15" customFormat="1">
      <c r="A61" s="173"/>
      <c r="B61" s="173"/>
      <c r="C61" s="173"/>
      <c r="D61" s="171"/>
      <c r="E61" s="171"/>
      <c r="F61" s="171"/>
      <c r="G61" s="175"/>
      <c r="H61" s="175"/>
      <c r="I61" s="175"/>
      <c r="J61" s="175"/>
      <c r="K61" s="175"/>
      <c r="L61" s="175"/>
      <c r="M61" s="175"/>
      <c r="N61" s="173"/>
      <c r="O61" s="173"/>
      <c r="P61" s="11"/>
      <c r="Q61" s="173"/>
      <c r="R61" s="132"/>
      <c r="S61" s="51"/>
      <c r="T61" s="51"/>
      <c r="U61" s="51"/>
      <c r="W61" s="51"/>
    </row>
    <row r="62" spans="1:23" s="15" customFormat="1">
      <c r="A62" s="173"/>
      <c r="B62" s="173"/>
      <c r="C62" s="173"/>
      <c r="D62" s="171"/>
      <c r="E62" s="171"/>
      <c r="F62" s="171"/>
      <c r="G62" s="175"/>
      <c r="H62" s="175"/>
      <c r="I62" s="175"/>
      <c r="J62" s="175"/>
      <c r="K62" s="175"/>
      <c r="L62" s="175"/>
      <c r="M62" s="175"/>
      <c r="N62" s="173"/>
      <c r="O62" s="173"/>
      <c r="P62" s="11"/>
      <c r="Q62" s="173"/>
      <c r="R62" s="132"/>
      <c r="S62" s="51"/>
      <c r="T62" s="51"/>
      <c r="U62" s="51"/>
      <c r="W62" s="51"/>
    </row>
    <row r="63" spans="1:23" s="15" customFormat="1">
      <c r="A63" s="173"/>
      <c r="B63" s="173"/>
      <c r="C63" s="173"/>
      <c r="D63" s="171"/>
      <c r="E63" s="171"/>
      <c r="F63" s="171"/>
      <c r="G63" s="175"/>
      <c r="H63" s="175"/>
      <c r="I63" s="175"/>
      <c r="J63" s="175"/>
      <c r="K63" s="175"/>
      <c r="L63" s="175"/>
      <c r="M63" s="175"/>
      <c r="N63" s="173"/>
      <c r="O63" s="173"/>
      <c r="P63" s="11"/>
      <c r="Q63" s="173"/>
      <c r="R63" s="132"/>
      <c r="S63" s="51"/>
      <c r="T63" s="51"/>
      <c r="U63" s="51"/>
      <c r="W63" s="51"/>
    </row>
    <row r="64" spans="1:23" s="15" customFormat="1">
      <c r="A64" s="173"/>
      <c r="B64" s="173"/>
      <c r="C64" s="173"/>
      <c r="D64" s="171"/>
      <c r="E64" s="171"/>
      <c r="F64" s="171"/>
      <c r="G64" s="175"/>
      <c r="H64" s="175"/>
      <c r="I64" s="175"/>
      <c r="J64" s="175"/>
      <c r="K64" s="175"/>
      <c r="L64" s="175"/>
      <c r="M64" s="175"/>
      <c r="N64" s="173"/>
      <c r="O64" s="173"/>
      <c r="P64" s="11"/>
      <c r="Q64" s="173"/>
      <c r="R64" s="132"/>
      <c r="S64" s="51"/>
      <c r="T64" s="51"/>
      <c r="U64" s="51"/>
      <c r="W64" s="51"/>
    </row>
    <row r="65" spans="1:23" s="15" customFormat="1" ht="28.5" customHeight="1">
      <c r="A65" s="173"/>
      <c r="B65" s="173"/>
      <c r="C65" s="173"/>
      <c r="D65" s="171"/>
      <c r="E65" s="171"/>
      <c r="F65" s="171"/>
      <c r="G65" s="175"/>
      <c r="H65" s="175"/>
      <c r="I65" s="175"/>
      <c r="J65" s="175"/>
      <c r="K65" s="175"/>
      <c r="L65" s="175"/>
      <c r="M65" s="175"/>
      <c r="N65" s="173"/>
      <c r="O65" s="173"/>
      <c r="P65" s="173"/>
      <c r="Q65" s="173"/>
      <c r="R65" s="132"/>
      <c r="S65" s="51"/>
      <c r="T65" s="51"/>
      <c r="U65" s="51"/>
      <c r="W65" s="51"/>
    </row>
    <row r="66" spans="1:23" s="15" customFormat="1" ht="28.5" customHeight="1">
      <c r="A66" s="173"/>
      <c r="B66" s="173"/>
      <c r="C66" s="173"/>
      <c r="D66" s="171"/>
      <c r="E66" s="171"/>
      <c r="F66" s="171"/>
      <c r="G66" s="175"/>
      <c r="H66" s="175"/>
      <c r="I66" s="175"/>
      <c r="J66" s="175"/>
      <c r="K66" s="175"/>
      <c r="L66" s="175"/>
      <c r="M66" s="175"/>
      <c r="N66" s="173"/>
      <c r="O66" s="173"/>
      <c r="P66" s="173"/>
      <c r="Q66" s="173"/>
      <c r="R66" s="132"/>
      <c r="S66" s="51"/>
      <c r="T66" s="51"/>
      <c r="U66" s="51"/>
      <c r="W66" s="51"/>
    </row>
    <row r="67" spans="1:23" s="15" customFormat="1" ht="28.5" customHeight="1">
      <c r="A67" s="182"/>
      <c r="B67" s="182"/>
      <c r="C67" s="182"/>
      <c r="D67" s="171"/>
      <c r="E67" s="171"/>
      <c r="F67" s="171"/>
      <c r="G67" s="175"/>
      <c r="H67" s="175"/>
      <c r="I67" s="175"/>
      <c r="J67" s="175"/>
      <c r="K67" s="175"/>
      <c r="L67" s="175"/>
      <c r="M67" s="175"/>
      <c r="N67" s="173"/>
      <c r="O67" s="173"/>
      <c r="P67" s="173"/>
      <c r="Q67" s="173"/>
      <c r="R67" s="132"/>
      <c r="S67" s="51"/>
      <c r="T67" s="51"/>
      <c r="U67" s="51"/>
      <c r="W67" s="51"/>
    </row>
    <row r="68" spans="1:23" s="15" customFormat="1" ht="21" customHeight="1">
      <c r="A68" s="768" t="s">
        <v>11</v>
      </c>
      <c r="B68" s="768"/>
      <c r="C68" s="513"/>
      <c r="D68" s="171"/>
      <c r="E68" s="171"/>
      <c r="F68" s="171"/>
      <c r="G68" s="175"/>
      <c r="H68" s="175"/>
      <c r="I68" s="175"/>
      <c r="J68" s="175"/>
      <c r="K68" s="175"/>
      <c r="L68" s="175"/>
      <c r="M68" s="175"/>
      <c r="N68" s="173"/>
      <c r="O68" s="173"/>
      <c r="P68" s="173"/>
      <c r="Q68" s="173"/>
      <c r="R68" s="132"/>
      <c r="S68" s="51"/>
      <c r="T68" s="51"/>
      <c r="U68" s="51"/>
      <c r="W68" s="51"/>
    </row>
    <row r="69" spans="1:23" s="15" customFormat="1" ht="21" customHeight="1">
      <c r="A69" s="176"/>
      <c r="B69" s="176"/>
      <c r="C69" s="176"/>
      <c r="D69" s="171"/>
      <c r="E69" s="171"/>
      <c r="F69" s="171"/>
      <c r="G69" s="175"/>
      <c r="H69" s="175"/>
      <c r="I69" s="175"/>
      <c r="J69" s="175"/>
      <c r="K69" s="175"/>
      <c r="L69" s="175"/>
      <c r="M69" s="175"/>
      <c r="N69" s="171"/>
      <c r="O69" s="171"/>
      <c r="P69" s="171"/>
      <c r="Q69" s="171"/>
      <c r="R69" s="132"/>
      <c r="S69" s="51"/>
      <c r="T69" s="51"/>
      <c r="U69" s="51"/>
      <c r="W69" s="51"/>
    </row>
    <row r="70" spans="1:23" s="15" customFormat="1" ht="21" customHeight="1">
      <c r="A70" s="176"/>
      <c r="B70" s="176"/>
      <c r="C70" s="176"/>
      <c r="D70" s="171"/>
      <c r="E70" s="171"/>
      <c r="F70" s="171"/>
      <c r="G70" s="175"/>
      <c r="H70" s="175"/>
      <c r="I70" s="175"/>
      <c r="J70" s="175"/>
      <c r="K70" s="175"/>
      <c r="L70" s="175"/>
      <c r="M70" s="175"/>
      <c r="N70" s="171"/>
      <c r="O70" s="171"/>
      <c r="P70" s="171"/>
      <c r="Q70" s="171"/>
      <c r="R70" s="132"/>
      <c r="S70" s="51"/>
      <c r="T70" s="51"/>
      <c r="U70" s="51"/>
      <c r="W70" s="51"/>
    </row>
    <row r="71" spans="1:23" s="15" customFormat="1" ht="27" customHeight="1">
      <c r="A71" s="176"/>
      <c r="B71" s="176"/>
      <c r="C71" s="176"/>
      <c r="D71" s="171"/>
      <c r="E71" s="171"/>
      <c r="F71" s="171"/>
      <c r="G71" s="175"/>
      <c r="H71" s="175"/>
      <c r="I71" s="175"/>
      <c r="J71" s="175"/>
      <c r="K71" s="175"/>
      <c r="L71" s="175"/>
      <c r="M71" s="175"/>
      <c r="N71" s="171"/>
      <c r="O71" s="171"/>
      <c r="P71" s="171"/>
      <c r="Q71" s="171"/>
      <c r="R71" s="171"/>
      <c r="S71" s="51"/>
      <c r="T71" s="51"/>
      <c r="U71" s="51"/>
      <c r="W71" s="51"/>
    </row>
    <row r="72" spans="1:23" s="15" customFormat="1" ht="21" customHeight="1">
      <c r="A72" s="176"/>
      <c r="B72" s="176"/>
      <c r="C72" s="176"/>
      <c r="D72" s="171"/>
      <c r="E72" s="171"/>
      <c r="F72" s="171"/>
      <c r="G72" s="175"/>
      <c r="H72" s="175"/>
      <c r="I72" s="175"/>
      <c r="J72" s="175"/>
      <c r="K72" s="175"/>
      <c r="L72" s="175"/>
      <c r="M72" s="175"/>
      <c r="N72" s="171"/>
      <c r="O72" s="171"/>
      <c r="P72" s="171"/>
      <c r="Q72" s="171"/>
      <c r="R72" s="171"/>
      <c r="S72" s="51"/>
      <c r="T72" s="51"/>
      <c r="U72" s="51"/>
      <c r="W72" s="51"/>
    </row>
    <row r="73" spans="1:23" s="15" customFormat="1" ht="21" customHeight="1">
      <c r="A73" s="176"/>
      <c r="B73" s="176"/>
      <c r="C73" s="176"/>
      <c r="D73" s="171"/>
      <c r="E73" s="171"/>
      <c r="F73" s="171"/>
      <c r="G73" s="175"/>
      <c r="H73" s="175"/>
      <c r="I73" s="175"/>
      <c r="J73" s="175"/>
      <c r="K73" s="175"/>
      <c r="L73" s="175"/>
      <c r="M73" s="175"/>
      <c r="N73" s="171"/>
      <c r="O73" s="171"/>
      <c r="P73" s="171"/>
      <c r="Q73" s="171"/>
      <c r="R73" s="171"/>
      <c r="S73" s="51"/>
      <c r="T73" s="51"/>
      <c r="U73" s="51"/>
      <c r="W73" s="51"/>
    </row>
    <row r="74" spans="1:23" s="15" customFormat="1" ht="21" customHeight="1">
      <c r="A74" s="176"/>
      <c r="B74" s="176"/>
      <c r="C74" s="176"/>
      <c r="D74" s="171"/>
      <c r="E74" s="171"/>
      <c r="F74" s="171"/>
      <c r="G74" s="175"/>
      <c r="H74" s="175"/>
      <c r="I74" s="175"/>
      <c r="J74" s="175"/>
      <c r="K74" s="175"/>
      <c r="L74" s="175"/>
      <c r="M74" s="175"/>
      <c r="N74" s="171"/>
      <c r="O74" s="171"/>
      <c r="P74" s="171"/>
      <c r="Q74" s="171"/>
      <c r="R74" s="171"/>
      <c r="S74" s="51"/>
      <c r="T74" s="51"/>
      <c r="U74" s="51"/>
      <c r="W74" s="51"/>
    </row>
    <row r="75" spans="1:23" s="15" customFormat="1" ht="21" customHeight="1">
      <c r="A75" s="176"/>
      <c r="B75" s="176"/>
      <c r="C75" s="176"/>
      <c r="D75" s="171"/>
      <c r="E75" s="171"/>
      <c r="F75" s="171"/>
      <c r="G75" s="175"/>
      <c r="H75" s="175"/>
      <c r="I75" s="175"/>
      <c r="J75" s="175"/>
      <c r="K75" s="175"/>
      <c r="L75" s="175"/>
      <c r="M75" s="175"/>
      <c r="N75" s="171"/>
      <c r="O75" s="171"/>
      <c r="P75" s="171"/>
      <c r="Q75" s="171"/>
      <c r="R75" s="171"/>
      <c r="S75" s="51"/>
      <c r="T75" s="51"/>
      <c r="U75" s="51"/>
      <c r="W75" s="51"/>
    </row>
    <row r="76" spans="1:23" ht="21" customHeight="1">
      <c r="A76" s="15"/>
      <c r="B76" s="15"/>
      <c r="C76" s="15"/>
      <c r="D76" s="171"/>
      <c r="E76" s="171"/>
      <c r="F76" s="171"/>
      <c r="G76" s="175"/>
      <c r="H76" s="175"/>
      <c r="I76" s="175"/>
      <c r="J76" s="175"/>
      <c r="K76" s="175"/>
      <c r="L76" s="175"/>
      <c r="M76" s="175"/>
      <c r="N76" s="171"/>
      <c r="O76" s="171"/>
      <c r="P76" s="171"/>
      <c r="Q76" s="171"/>
      <c r="R76" s="171"/>
    </row>
    <row r="77" spans="1:23" ht="21" customHeight="1">
      <c r="A77" s="15"/>
      <c r="B77" s="15"/>
      <c r="C77" s="15"/>
      <c r="D77" s="171"/>
      <c r="E77" s="171"/>
      <c r="F77" s="171"/>
      <c r="G77" s="175"/>
      <c r="H77" s="175"/>
      <c r="I77" s="175"/>
      <c r="J77" s="175"/>
      <c r="K77" s="175"/>
      <c r="L77" s="175"/>
      <c r="M77" s="175"/>
      <c r="N77" s="171"/>
      <c r="O77" s="171"/>
      <c r="P77" s="171"/>
      <c r="Q77" s="171"/>
      <c r="R77" s="171"/>
    </row>
    <row r="78" spans="1:23" ht="21" customHeight="1">
      <c r="A78" s="15"/>
      <c r="B78" s="15"/>
      <c r="C78" s="15"/>
      <c r="G78" s="175"/>
      <c r="H78" s="175"/>
      <c r="I78" s="175"/>
      <c r="J78" s="175"/>
      <c r="K78" s="175"/>
      <c r="L78" s="175"/>
      <c r="M78" s="175"/>
    </row>
    <row r="79" spans="1:23" ht="15.75" customHeight="1">
      <c r="A79" s="15"/>
      <c r="B79" s="15"/>
      <c r="C79" s="15"/>
      <c r="G79" s="175"/>
      <c r="H79" s="175"/>
      <c r="I79" s="175"/>
      <c r="J79" s="175"/>
      <c r="K79" s="175"/>
      <c r="L79" s="175"/>
      <c r="M79" s="175"/>
    </row>
    <row r="80" spans="1:23">
      <c r="A80" s="15"/>
      <c r="B80" s="15"/>
      <c r="C80" s="15"/>
      <c r="G80" s="175"/>
      <c r="H80" s="175"/>
      <c r="I80" s="175"/>
      <c r="J80" s="175"/>
      <c r="K80" s="175"/>
      <c r="L80" s="175"/>
      <c r="M80" s="175"/>
    </row>
    <row r="81" spans="1:13">
      <c r="A81" s="15"/>
      <c r="B81" s="15"/>
      <c r="C81" s="15"/>
      <c r="G81" s="175"/>
      <c r="H81" s="175"/>
      <c r="I81" s="175"/>
      <c r="J81" s="175"/>
      <c r="K81" s="175"/>
      <c r="L81" s="175"/>
      <c r="M81" s="175"/>
    </row>
    <row r="82" spans="1:13">
      <c r="A82" s="15"/>
      <c r="B82" s="15"/>
      <c r="C82" s="15"/>
      <c r="G82" s="175"/>
      <c r="H82" s="175"/>
      <c r="I82" s="175"/>
      <c r="J82" s="175"/>
      <c r="K82" s="175"/>
      <c r="L82" s="175"/>
      <c r="M82" s="175"/>
    </row>
    <row r="83" spans="1:13">
      <c r="A83" s="15"/>
      <c r="B83" s="15"/>
      <c r="C83" s="15"/>
      <c r="G83" s="175"/>
      <c r="H83" s="175"/>
      <c r="I83" s="175"/>
      <c r="J83" s="175"/>
      <c r="K83" s="175"/>
      <c r="L83" s="175"/>
      <c r="M83" s="175"/>
    </row>
    <row r="84" spans="1:13">
      <c r="A84" s="15"/>
      <c r="B84" s="15"/>
      <c r="C84" s="15"/>
      <c r="G84" s="175"/>
      <c r="H84" s="175"/>
      <c r="I84" s="175"/>
      <c r="J84" s="175"/>
      <c r="K84" s="175"/>
      <c r="L84" s="175"/>
      <c r="M84" s="175"/>
    </row>
    <row r="85" spans="1:13">
      <c r="A85" s="15"/>
      <c r="B85" s="15"/>
      <c r="C85" s="15"/>
      <c r="G85" s="175"/>
      <c r="H85" s="175"/>
      <c r="I85" s="175"/>
      <c r="J85" s="175"/>
      <c r="K85" s="175"/>
      <c r="L85" s="175"/>
      <c r="M85" s="175"/>
    </row>
    <row r="86" spans="1:13">
      <c r="G86" s="175"/>
      <c r="H86" s="175"/>
      <c r="I86" s="175"/>
      <c r="J86" s="175"/>
      <c r="K86" s="175"/>
      <c r="L86" s="175"/>
      <c r="M86" s="175"/>
    </row>
    <row r="87" spans="1:13">
      <c r="G87" s="175"/>
      <c r="H87" s="175"/>
      <c r="I87" s="175"/>
      <c r="J87" s="175"/>
      <c r="K87" s="175"/>
      <c r="L87" s="175"/>
      <c r="M87" s="175"/>
    </row>
    <row r="88" spans="1:13">
      <c r="G88" s="175"/>
      <c r="H88" s="175"/>
      <c r="I88" s="175"/>
      <c r="J88" s="175"/>
      <c r="K88" s="175"/>
      <c r="L88" s="175"/>
      <c r="M88" s="175"/>
    </row>
    <row r="89" spans="1:13">
      <c r="G89" s="175"/>
      <c r="H89" s="175"/>
      <c r="I89" s="175"/>
      <c r="J89" s="175"/>
      <c r="K89" s="175"/>
      <c r="L89" s="175"/>
      <c r="M89" s="175"/>
    </row>
  </sheetData>
  <mergeCells count="11">
    <mergeCell ref="A68:B68"/>
    <mergeCell ref="S4:S5"/>
    <mergeCell ref="W4:W5"/>
    <mergeCell ref="D1:Q1"/>
    <mergeCell ref="A2:B2"/>
    <mergeCell ref="D2:Q2"/>
    <mergeCell ref="D3:Q3"/>
    <mergeCell ref="Q4:Q5"/>
    <mergeCell ref="A3:C4"/>
    <mergeCell ref="D4:G4"/>
    <mergeCell ref="U5:U6"/>
  </mergeCells>
  <printOptions horizontalCentered="1"/>
  <pageMargins left="0.25" right="0.25" top="0.75" bottom="0.25" header="0.25" footer="0.1"/>
  <pageSetup scale="33" orientation="landscape" horizontalDpi="300" verticalDpi="300" r:id="rId1"/>
  <headerFooter alignWithMargins="0">
    <oddFooter>&amp;R&amp;"Arial,Regular"&amp;10Date: &amp;D</oddFooter>
  </headerFooter>
  <rowBreaks count="1" manualBreakCount="1">
    <brk id="53" max="16" man="1"/>
  </rowBreaks>
  <colBreaks count="1" manualBreakCount="1">
    <brk id="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025F-E3F5-41BA-B5B3-CDB5026B0DEC}">
  <sheetPr syncVertical="1" syncRef="D7" transitionEvaluation="1">
    <tabColor rgb="FF00B050"/>
    <pageSetUpPr fitToPage="1"/>
  </sheetPr>
  <dimension ref="A1:Y89"/>
  <sheetViews>
    <sheetView zoomScale="46" zoomScaleNormal="46" workbookViewId="0">
      <pane xSplit="3" ySplit="6" topLeftCell="D7" activePane="bottomRight" state="frozen"/>
      <selection activeCell="F36" sqref="F36"/>
      <selection pane="topRight" activeCell="F36" sqref="F36"/>
      <selection pane="bottomLeft" activeCell="F36" sqref="F36"/>
      <selection pane="bottomRight" activeCell="F36" sqref="F36"/>
    </sheetView>
  </sheetViews>
  <sheetFormatPr defaultColWidth="7.77734375" defaultRowHeight="26.25"/>
  <cols>
    <col min="1" max="1" width="39.88671875" style="22" customWidth="1"/>
    <col min="2" max="2" width="19" style="22" customWidth="1"/>
    <col min="3" max="3" width="14.21875" style="22" customWidth="1"/>
    <col min="4" max="15" width="18.21875" style="22" customWidth="1"/>
    <col min="16" max="16" width="4" style="15" customWidth="1"/>
    <col min="17" max="17" width="19" style="22" customWidth="1"/>
    <col min="18" max="18" width="4.21875" style="22" customWidth="1"/>
    <col min="19" max="19" width="23.77734375" style="44" customWidth="1"/>
    <col min="20" max="20" width="2.77734375" style="44" customWidth="1"/>
    <col min="21" max="21" width="20.44140625" style="44" customWidth="1"/>
    <col min="22" max="22" width="18.77734375" style="22" customWidth="1"/>
    <col min="23" max="23" width="39.109375" style="22" customWidth="1"/>
    <col min="24" max="24" width="7.77734375" style="22" customWidth="1"/>
    <col min="25" max="25" width="14.88671875" style="22" customWidth="1"/>
    <col min="26" max="16384" width="7.77734375" style="22"/>
  </cols>
  <sheetData>
    <row r="1" spans="1:22" s="5" customFormat="1" ht="50.45" customHeight="1">
      <c r="D1" s="755" t="s">
        <v>113</v>
      </c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R1" s="3"/>
      <c r="S1" s="3"/>
      <c r="T1" s="4"/>
      <c r="U1" s="4"/>
    </row>
    <row r="2" spans="1:22" s="5" customFormat="1" ht="45" customHeight="1" thickBot="1">
      <c r="A2" s="774" t="s">
        <v>153</v>
      </c>
      <c r="B2" s="774"/>
      <c r="C2" s="462">
        <f>'[2]2021 Benefits Wk '!$L$1</f>
        <v>2022</v>
      </c>
      <c r="D2" s="745" t="s">
        <v>152</v>
      </c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746"/>
      <c r="R2" s="3"/>
      <c r="S2" s="3"/>
      <c r="T2" s="4"/>
      <c r="U2" s="4"/>
    </row>
    <row r="3" spans="1:22" s="5" customFormat="1" ht="47.25" thickBot="1">
      <c r="A3" s="775" t="s">
        <v>154</v>
      </c>
      <c r="B3" s="775"/>
      <c r="C3" s="776"/>
      <c r="D3" s="745" t="str">
        <f>'[2]2021 Benefits Wk '!$K$3</f>
        <v>Update for 2022 Budget</v>
      </c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746"/>
      <c r="Q3" s="746"/>
      <c r="R3" s="8"/>
      <c r="S3" s="424" t="s">
        <v>302</v>
      </c>
      <c r="T3" s="220"/>
      <c r="U3" s="220"/>
      <c r="V3" s="220"/>
    </row>
    <row r="4" spans="1:22" s="5" customFormat="1" ht="27.75" customHeight="1">
      <c r="A4" s="463" t="s">
        <v>270</v>
      </c>
      <c r="B4" s="279" t="s">
        <v>271</v>
      </c>
      <c r="C4" s="280" t="s">
        <v>11</v>
      </c>
      <c r="D4" s="219" t="s">
        <v>5</v>
      </c>
      <c r="E4" s="13" t="s">
        <v>6</v>
      </c>
      <c r="F4" s="14" t="s">
        <v>7</v>
      </c>
      <c r="G4" s="22"/>
      <c r="H4"/>
      <c r="I4"/>
      <c r="J4"/>
      <c r="K4"/>
      <c r="L4"/>
      <c r="M4"/>
      <c r="N4"/>
      <c r="O4"/>
      <c r="P4" s="11"/>
      <c r="Q4" s="772" t="str">
        <f>'[2]2021 Benefits Wk '!$K$2</f>
        <v>2022 Budget</v>
      </c>
      <c r="R4" s="8"/>
      <c r="S4" s="500" t="s">
        <v>300</v>
      </c>
      <c r="T4" s="220"/>
      <c r="U4" s="220"/>
      <c r="V4" s="220"/>
    </row>
    <row r="5" spans="1:22" ht="30.75" customHeight="1" thickBot="1">
      <c r="A5" s="15"/>
      <c r="B5" s="223" t="s">
        <v>11</v>
      </c>
      <c r="C5" s="223"/>
      <c r="D5" s="508" t="s">
        <v>306</v>
      </c>
      <c r="E5" s="508" t="s">
        <v>306</v>
      </c>
      <c r="F5" s="508" t="s">
        <v>306</v>
      </c>
      <c r="G5" s="508" t="s">
        <v>306</v>
      </c>
      <c r="H5" s="508" t="s">
        <v>306</v>
      </c>
      <c r="I5" s="508" t="s">
        <v>306</v>
      </c>
      <c r="J5" s="508" t="s">
        <v>306</v>
      </c>
      <c r="K5" s="508" t="s">
        <v>306</v>
      </c>
      <c r="L5" s="508" t="s">
        <v>306</v>
      </c>
      <c r="M5" s="508" t="s">
        <v>306</v>
      </c>
      <c r="N5" s="508" t="s">
        <v>306</v>
      </c>
      <c r="O5" s="508" t="s">
        <v>306</v>
      </c>
      <c r="P5" s="237"/>
      <c r="Q5" s="773"/>
      <c r="R5" s="225"/>
      <c r="S5" s="501" t="s">
        <v>301</v>
      </c>
      <c r="T5" s="225"/>
      <c r="U5" s="225"/>
      <c r="V5" s="225"/>
    </row>
    <row r="6" spans="1:22" s="5" customFormat="1" ht="53.25" thickBot="1">
      <c r="A6" s="34" t="s">
        <v>15</v>
      </c>
      <c r="B6" s="34"/>
      <c r="C6" s="34"/>
      <c r="D6" s="288" t="s">
        <v>82</v>
      </c>
      <c r="E6" s="288" t="s">
        <v>83</v>
      </c>
      <c r="F6" s="288" t="s">
        <v>84</v>
      </c>
      <c r="G6" s="288" t="s">
        <v>85</v>
      </c>
      <c r="H6" s="288" t="s">
        <v>20</v>
      </c>
      <c r="I6" s="36" t="s">
        <v>21</v>
      </c>
      <c r="J6" s="288" t="s">
        <v>22</v>
      </c>
      <c r="K6" s="227" t="s">
        <v>23</v>
      </c>
      <c r="L6" s="227" t="s">
        <v>24</v>
      </c>
      <c r="M6" s="227" t="s">
        <v>25</v>
      </c>
      <c r="N6" s="227" t="s">
        <v>26</v>
      </c>
      <c r="O6" s="227" t="s">
        <v>27</v>
      </c>
      <c r="P6" s="11"/>
      <c r="Q6" s="238" t="s">
        <v>148</v>
      </c>
      <c r="R6" s="239"/>
      <c r="S6" s="499" t="s">
        <v>303</v>
      </c>
      <c r="T6" s="41"/>
      <c r="U6" s="504" t="s">
        <v>30</v>
      </c>
    </row>
    <row r="7" spans="1:22" s="44" customFormat="1" ht="34.5" customHeight="1">
      <c r="A7" s="453" t="s">
        <v>170</v>
      </c>
      <c r="B7" s="241"/>
      <c r="C7" s="240"/>
      <c r="D7" s="509">
        <v>0</v>
      </c>
      <c r="E7" s="509">
        <v>1100</v>
      </c>
      <c r="F7" s="509">
        <v>4900</v>
      </c>
      <c r="G7" s="509">
        <v>6800</v>
      </c>
      <c r="H7" s="509">
        <v>10500</v>
      </c>
      <c r="I7" s="509">
        <v>31000</v>
      </c>
      <c r="J7" s="509">
        <v>38000</v>
      </c>
      <c r="K7" s="509">
        <v>22500</v>
      </c>
      <c r="L7" s="509">
        <v>18000</v>
      </c>
      <c r="M7" s="509">
        <v>19000</v>
      </c>
      <c r="N7" s="509">
        <v>9800</v>
      </c>
      <c r="O7" s="509">
        <v>1100</v>
      </c>
      <c r="P7" s="229"/>
      <c r="Q7" s="230">
        <f t="shared" ref="Q7:Q11" si="0">SUM(D7:O7)</f>
        <v>162700</v>
      </c>
      <c r="R7" s="243" t="s">
        <v>11</v>
      </c>
      <c r="S7" s="50">
        <v>54419.020000000004</v>
      </c>
      <c r="T7" s="51"/>
      <c r="U7" s="503">
        <f>+Q7-S7</f>
        <v>108280.98</v>
      </c>
    </row>
    <row r="8" spans="1:22" s="44" customFormat="1" ht="35.1" customHeight="1">
      <c r="A8" s="453" t="s">
        <v>171</v>
      </c>
      <c r="B8" s="241"/>
      <c r="C8" s="240"/>
      <c r="D8" s="509">
        <v>0</v>
      </c>
      <c r="E8" s="509">
        <v>1500</v>
      </c>
      <c r="F8" s="509">
        <v>6200</v>
      </c>
      <c r="G8" s="509">
        <v>8600</v>
      </c>
      <c r="H8" s="509">
        <v>13800</v>
      </c>
      <c r="I8" s="509">
        <v>39600</v>
      </c>
      <c r="J8" s="509">
        <v>48400</v>
      </c>
      <c r="K8" s="509">
        <v>31000</v>
      </c>
      <c r="L8" s="509">
        <v>24500</v>
      </c>
      <c r="M8" s="509">
        <v>25000</v>
      </c>
      <c r="N8" s="509">
        <v>13500</v>
      </c>
      <c r="O8" s="509">
        <v>1800</v>
      </c>
      <c r="P8" s="229"/>
      <c r="Q8" s="230">
        <f t="shared" si="0"/>
        <v>213900</v>
      </c>
      <c r="R8" s="243" t="s">
        <v>11</v>
      </c>
      <c r="S8" s="50">
        <v>101988.27</v>
      </c>
      <c r="T8" s="51"/>
      <c r="U8" s="502">
        <f>+Q8-S8</f>
        <v>111911.73</v>
      </c>
    </row>
    <row r="9" spans="1:22" s="44" customFormat="1" ht="35.1" customHeight="1">
      <c r="A9" s="240" t="s">
        <v>304</v>
      </c>
      <c r="B9" s="241"/>
      <c r="C9" s="240"/>
      <c r="D9" s="509">
        <v>0</v>
      </c>
      <c r="E9" s="509">
        <v>0</v>
      </c>
      <c r="F9" s="509">
        <v>0</v>
      </c>
      <c r="G9" s="509">
        <v>0</v>
      </c>
      <c r="H9" s="509">
        <v>0</v>
      </c>
      <c r="I9" s="509">
        <v>0</v>
      </c>
      <c r="J9" s="509">
        <v>0</v>
      </c>
      <c r="K9" s="509">
        <v>0</v>
      </c>
      <c r="L9" s="509">
        <v>0</v>
      </c>
      <c r="M9" s="509">
        <v>0</v>
      </c>
      <c r="N9" s="510">
        <v>0</v>
      </c>
      <c r="O9" s="510">
        <v>0</v>
      </c>
      <c r="P9" s="229"/>
      <c r="Q9" s="230">
        <f t="shared" si="0"/>
        <v>0</v>
      </c>
      <c r="R9" s="243" t="s">
        <v>11</v>
      </c>
      <c r="S9" s="50">
        <f>100000+77800</f>
        <v>177800</v>
      </c>
      <c r="T9" s="51"/>
      <c r="U9" s="502">
        <f t="shared" ref="U9:U11" si="1">+Q9-S9</f>
        <v>-177800</v>
      </c>
    </row>
    <row r="10" spans="1:22" s="44" customFormat="1" ht="34.5" customHeight="1">
      <c r="A10" s="466" t="s">
        <v>172</v>
      </c>
      <c r="B10" s="241"/>
      <c r="C10" s="240"/>
      <c r="D10" s="509">
        <v>0</v>
      </c>
      <c r="E10" s="509">
        <v>0</v>
      </c>
      <c r="F10" s="509">
        <v>0</v>
      </c>
      <c r="G10" s="509">
        <v>700</v>
      </c>
      <c r="H10" s="509">
        <v>2500</v>
      </c>
      <c r="I10" s="509">
        <v>3000</v>
      </c>
      <c r="J10" s="509">
        <v>2500</v>
      </c>
      <c r="K10" s="509">
        <v>2000</v>
      </c>
      <c r="L10" s="509">
        <v>1000</v>
      </c>
      <c r="M10" s="509">
        <v>1000</v>
      </c>
      <c r="N10" s="509">
        <v>0</v>
      </c>
      <c r="O10" s="509">
        <v>0</v>
      </c>
      <c r="P10" s="229"/>
      <c r="Q10" s="230">
        <f t="shared" si="0"/>
        <v>12700</v>
      </c>
      <c r="R10" s="243" t="s">
        <v>11</v>
      </c>
      <c r="S10" s="50">
        <v>1625.42</v>
      </c>
      <c r="T10" s="51"/>
      <c r="U10" s="502">
        <f t="shared" si="1"/>
        <v>11074.58</v>
      </c>
    </row>
    <row r="11" spans="1:22" s="44" customFormat="1" ht="35.1" customHeight="1">
      <c r="A11" s="466" t="s">
        <v>173</v>
      </c>
      <c r="B11" s="466"/>
      <c r="C11" s="240"/>
      <c r="D11" s="509">
        <v>0</v>
      </c>
      <c r="E11" s="509">
        <v>0</v>
      </c>
      <c r="F11" s="509">
        <v>0</v>
      </c>
      <c r="G11" s="509">
        <v>0</v>
      </c>
      <c r="H11" s="509">
        <f>'[1]Input Wrksht '!J10</f>
        <v>0</v>
      </c>
      <c r="I11" s="509">
        <f>'[1]Input Wrksht '!K10</f>
        <v>0</v>
      </c>
      <c r="J11" s="509">
        <f>'[1]Input Wrksht '!L10</f>
        <v>0</v>
      </c>
      <c r="K11" s="509">
        <v>0</v>
      </c>
      <c r="L11" s="509">
        <v>0</v>
      </c>
      <c r="M11" s="509">
        <v>0</v>
      </c>
      <c r="N11" s="510">
        <v>0</v>
      </c>
      <c r="O11" s="510">
        <v>0</v>
      </c>
      <c r="P11" s="229"/>
      <c r="Q11" s="230">
        <f t="shared" si="0"/>
        <v>0</v>
      </c>
      <c r="R11" s="243" t="s">
        <v>11</v>
      </c>
      <c r="S11" s="50">
        <v>-3201.84</v>
      </c>
      <c r="T11" s="51"/>
      <c r="U11" s="502">
        <f t="shared" si="1"/>
        <v>3201.84</v>
      </c>
    </row>
    <row r="12" spans="1:22" s="44" customFormat="1" ht="35.1" customHeight="1">
      <c r="A12" s="22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R12" s="243" t="s">
        <v>11</v>
      </c>
      <c r="T12" s="51"/>
      <c r="U12" s="56" t="s">
        <v>11</v>
      </c>
      <c r="V12" s="56" t="s">
        <v>11</v>
      </c>
    </row>
    <row r="13" spans="1:22" ht="25.5" customHeight="1" thickBot="1">
      <c r="A13" s="4"/>
      <c r="B13" s="62" t="s">
        <v>37</v>
      </c>
      <c r="C13" s="62"/>
      <c r="D13" s="289">
        <f t="shared" ref="D13:N13" si="2">SUM(D7:D12)</f>
        <v>0</v>
      </c>
      <c r="E13" s="289">
        <f t="shared" si="2"/>
        <v>2600</v>
      </c>
      <c r="F13" s="289">
        <f t="shared" si="2"/>
        <v>11100</v>
      </c>
      <c r="G13" s="289">
        <f t="shared" si="2"/>
        <v>16100</v>
      </c>
      <c r="H13" s="245">
        <f t="shared" si="2"/>
        <v>26800</v>
      </c>
      <c r="I13" s="507">
        <f t="shared" si="2"/>
        <v>73600</v>
      </c>
      <c r="J13" s="507">
        <f t="shared" si="2"/>
        <v>88900</v>
      </c>
      <c r="K13" s="245">
        <f t="shared" si="2"/>
        <v>55500</v>
      </c>
      <c r="L13" s="245">
        <f t="shared" si="2"/>
        <v>43500</v>
      </c>
      <c r="M13" s="245">
        <f t="shared" si="2"/>
        <v>45000</v>
      </c>
      <c r="N13" s="245">
        <f t="shared" si="2"/>
        <v>23300</v>
      </c>
      <c r="O13" s="246">
        <f>SUM(O7:O11)</f>
        <v>2900</v>
      </c>
      <c r="P13" s="229"/>
      <c r="Q13" s="231">
        <f>SUM(Q7:Q11)</f>
        <v>389300</v>
      </c>
      <c r="R13" s="243" t="s">
        <v>11</v>
      </c>
      <c r="S13" s="283">
        <f>ROUND((SUM(S7:S12)),-1)</f>
        <v>332630</v>
      </c>
      <c r="T13" s="51"/>
      <c r="U13" s="505">
        <f>ROUND((SUM(U7:U12)),-1)</f>
        <v>56670</v>
      </c>
      <c r="V13" s="4"/>
    </row>
    <row r="14" spans="1:22" s="4" customFormat="1" ht="19.149999999999999" customHeight="1" thickTop="1">
      <c r="A14" s="247"/>
      <c r="B14" s="432"/>
      <c r="C14" s="433"/>
      <c r="D14" s="434"/>
      <c r="E14" s="434"/>
      <c r="F14" s="434"/>
      <c r="G14" s="434"/>
      <c r="H14" s="434"/>
      <c r="I14" s="435"/>
      <c r="J14" s="434"/>
      <c r="K14" s="434"/>
      <c r="L14" s="434"/>
      <c r="M14" s="434"/>
      <c r="N14" s="434"/>
      <c r="O14" s="434"/>
      <c r="P14" s="436"/>
      <c r="Q14" s="437"/>
      <c r="R14" s="243" t="s">
        <v>11</v>
      </c>
      <c r="S14" s="243" t="s">
        <v>11</v>
      </c>
      <c r="T14" s="243" t="s">
        <v>11</v>
      </c>
      <c r="U14" s="243" t="s">
        <v>11</v>
      </c>
      <c r="V14" s="243" t="s">
        <v>11</v>
      </c>
    </row>
    <row r="15" spans="1:22" ht="30" customHeight="1">
      <c r="A15" s="111" t="s">
        <v>305</v>
      </c>
      <c r="B15" s="461"/>
      <c r="C15" s="233"/>
      <c r="D15" s="512">
        <v>0</v>
      </c>
      <c r="E15" s="512">
        <v>40</v>
      </c>
      <c r="F15" s="512">
        <v>125</v>
      </c>
      <c r="G15" s="512">
        <v>150</v>
      </c>
      <c r="H15" s="512">
        <v>350</v>
      </c>
      <c r="I15" s="512">
        <v>1000</v>
      </c>
      <c r="J15" s="512">
        <v>1200</v>
      </c>
      <c r="K15" s="512">
        <v>825</v>
      </c>
      <c r="L15" s="512">
        <v>750</v>
      </c>
      <c r="M15" s="512">
        <v>800</v>
      </c>
      <c r="N15" s="512">
        <v>350</v>
      </c>
      <c r="O15" s="512">
        <v>50</v>
      </c>
      <c r="P15" s="11"/>
      <c r="Q15" s="511">
        <f>SUM(D15:O15)</f>
        <v>5640</v>
      </c>
      <c r="R15" s="243" t="s">
        <v>11</v>
      </c>
      <c r="S15" s="284">
        <f>'[4]TOC 2021 R&amp;E - Revised '!$Q$18</f>
        <v>1547</v>
      </c>
      <c r="T15" s="85"/>
      <c r="U15" s="22"/>
    </row>
    <row r="16" spans="1:22" ht="18" customHeight="1">
      <c r="A16" s="252"/>
      <c r="B16" s="281"/>
      <c r="C16" s="282"/>
      <c r="D16" s="290"/>
      <c r="E16" s="290"/>
      <c r="F16" s="290"/>
      <c r="G16" s="290"/>
      <c r="H16" s="290"/>
      <c r="I16" s="290"/>
      <c r="J16" s="291"/>
      <c r="K16" s="290"/>
      <c r="L16" s="290"/>
      <c r="M16" s="290"/>
      <c r="N16" s="290"/>
      <c r="O16" s="290"/>
      <c r="P16" s="22"/>
      <c r="S16" s="22"/>
      <c r="T16" s="22"/>
      <c r="U16" s="22"/>
    </row>
    <row r="17" spans="1:25" s="105" customFormat="1" ht="54.6" customHeight="1">
      <c r="A17" s="261" t="s">
        <v>42</v>
      </c>
      <c r="B17" s="119"/>
      <c r="C17" s="119"/>
      <c r="D17" s="120"/>
      <c r="E17" s="240"/>
      <c r="F17" s="120"/>
      <c r="G17" s="121"/>
      <c r="H17" s="121"/>
      <c r="I17" s="121"/>
      <c r="J17" s="121"/>
      <c r="K17" s="121"/>
      <c r="L17" s="121"/>
      <c r="M17" s="121"/>
      <c r="N17" s="121"/>
      <c r="P17" s="229"/>
      <c r="Q17" s="238" t="s">
        <v>147</v>
      </c>
      <c r="R17" s="243" t="s">
        <v>11</v>
      </c>
      <c r="S17" s="40" t="s">
        <v>44</v>
      </c>
      <c r="T17" s="108"/>
      <c r="U17" s="42" t="s">
        <v>30</v>
      </c>
      <c r="V17" s="5"/>
    </row>
    <row r="18" spans="1:25" s="105" customFormat="1" ht="31.5" customHeight="1">
      <c r="A18" s="148"/>
      <c r="B18" s="148" t="s">
        <v>11</v>
      </c>
      <c r="C18" s="148"/>
      <c r="D18" s="129" t="str">
        <f t="shared" ref="D18:O18" si="3">IF((+D$7+D$8)=0," ",D19/(+D$7+D$8))</f>
        <v xml:space="preserve"> </v>
      </c>
      <c r="E18" s="129">
        <f t="shared" si="3"/>
        <v>0.23846153846153847</v>
      </c>
      <c r="F18" s="129">
        <f t="shared" si="3"/>
        <v>0.23963963963963963</v>
      </c>
      <c r="G18" s="129">
        <f t="shared" si="3"/>
        <v>0.24025974025974026</v>
      </c>
      <c r="H18" s="129">
        <f t="shared" si="3"/>
        <v>0.23991769547325104</v>
      </c>
      <c r="I18" s="129">
        <f t="shared" si="3"/>
        <v>0.23994334277620397</v>
      </c>
      <c r="J18" s="129">
        <f t="shared" si="3"/>
        <v>0.24004629629629629</v>
      </c>
      <c r="K18" s="129">
        <f t="shared" si="3"/>
        <v>0.24</v>
      </c>
      <c r="L18" s="129">
        <f t="shared" si="3"/>
        <v>0.24</v>
      </c>
      <c r="M18" s="262">
        <f t="shared" si="3"/>
        <v>0.24</v>
      </c>
      <c r="N18" s="262">
        <f t="shared" si="3"/>
        <v>0.23991416309012875</v>
      </c>
      <c r="O18" s="262">
        <f t="shared" si="3"/>
        <v>0.2413793103448276</v>
      </c>
      <c r="P18" s="11"/>
      <c r="Q18" s="263">
        <f>IF((+Q$7+Q$8)=0," ",Q19/(+Q$7+Q$8))</f>
        <v>0.23998937865108869</v>
      </c>
      <c r="R18" s="243" t="s">
        <v>11</v>
      </c>
      <c r="S18" s="286">
        <v>0.38323021900066168</v>
      </c>
      <c r="T18" s="118"/>
      <c r="U18" s="134"/>
      <c r="V18" s="127"/>
      <c r="Y18" s="445" t="s">
        <v>120</v>
      </c>
    </row>
    <row r="19" spans="1:25" s="5" customFormat="1" ht="27">
      <c r="A19" s="467" t="s">
        <v>174</v>
      </c>
      <c r="B19" s="265"/>
      <c r="C19" s="265"/>
      <c r="D19" s="266" t="s">
        <v>11</v>
      </c>
      <c r="E19" s="266">
        <f>ROUND((E7+E8)*24%,-1)</f>
        <v>620</v>
      </c>
      <c r="F19" s="266">
        <f t="shared" ref="F19:O19" si="4">ROUND((F7+F8)*24%,-1)</f>
        <v>2660</v>
      </c>
      <c r="G19" s="266">
        <f t="shared" si="4"/>
        <v>3700</v>
      </c>
      <c r="H19" s="266">
        <f t="shared" si="4"/>
        <v>5830</v>
      </c>
      <c r="I19" s="266">
        <f t="shared" si="4"/>
        <v>16940</v>
      </c>
      <c r="J19" s="266">
        <f t="shared" si="4"/>
        <v>20740</v>
      </c>
      <c r="K19" s="266">
        <f t="shared" si="4"/>
        <v>12840</v>
      </c>
      <c r="L19" s="266">
        <f t="shared" si="4"/>
        <v>10200</v>
      </c>
      <c r="M19" s="266">
        <f t="shared" si="4"/>
        <v>10560</v>
      </c>
      <c r="N19" s="266">
        <f t="shared" si="4"/>
        <v>5590</v>
      </c>
      <c r="O19" s="266">
        <f t="shared" si="4"/>
        <v>700</v>
      </c>
      <c r="P19" s="267"/>
      <c r="Q19" s="266">
        <f>SUM(D19:O19)</f>
        <v>90380</v>
      </c>
      <c r="R19" s="243" t="s">
        <v>11</v>
      </c>
      <c r="S19" s="425">
        <v>59940</v>
      </c>
      <c r="T19" s="125"/>
      <c r="U19" s="85">
        <f>+Q19-S19</f>
        <v>30440</v>
      </c>
      <c r="V19" s="4"/>
      <c r="Y19" s="442">
        <f>SUM(Q7:Q8)*0.24</f>
        <v>90384</v>
      </c>
    </row>
    <row r="20" spans="1:25" s="127" customFormat="1" ht="27" customHeight="1">
      <c r="A20" s="124"/>
      <c r="B20" s="124"/>
      <c r="C20" s="124"/>
      <c r="D20" s="141" t="str">
        <f t="shared" ref="D20:O20" si="5">IF((+D$7+D$8)=0," ",(+D21+D22)/(+D$7+D$8))</f>
        <v xml:space="preserve"> </v>
      </c>
      <c r="E20" s="141">
        <f t="shared" si="5"/>
        <v>1.6270185488270594</v>
      </c>
      <c r="F20" s="141">
        <f t="shared" si="5"/>
        <v>0.45317339207995272</v>
      </c>
      <c r="G20" s="141">
        <f t="shared" si="5"/>
        <v>0.36689771290656248</v>
      </c>
      <c r="H20" s="141">
        <f t="shared" si="5"/>
        <v>0.32305507064035016</v>
      </c>
      <c r="I20" s="141">
        <f t="shared" si="5"/>
        <v>0.19051344292679845</v>
      </c>
      <c r="J20" s="141">
        <f t="shared" si="5"/>
        <v>0.18808131054131053</v>
      </c>
      <c r="K20" s="141">
        <f t="shared" si="5"/>
        <v>0.1729019449355898</v>
      </c>
      <c r="L20" s="141">
        <f t="shared" si="5"/>
        <v>0.21765303656597773</v>
      </c>
      <c r="M20" s="141">
        <f t="shared" si="5"/>
        <v>0.21023304668304668</v>
      </c>
      <c r="N20" s="141">
        <f t="shared" si="5"/>
        <v>0.31031058002243866</v>
      </c>
      <c r="O20" s="141">
        <f t="shared" si="5"/>
        <v>2.1897333695357046</v>
      </c>
      <c r="P20" s="124"/>
      <c r="Q20" s="141">
        <f>IF((+Q$7+Q$8)=0," ",(+Q21+Q22)/(+Q$7+Q$8))</f>
        <v>0.2602767930352905</v>
      </c>
      <c r="R20" s="243" t="s">
        <v>11</v>
      </c>
      <c r="S20" s="142">
        <v>0.58936089232157907</v>
      </c>
      <c r="T20" s="124"/>
      <c r="U20" s="134"/>
      <c r="V20" s="143"/>
    </row>
    <row r="21" spans="1:25" s="4" customFormat="1" ht="35.1" customHeight="1">
      <c r="A21" s="453" t="s">
        <v>155</v>
      </c>
      <c r="B21" s="45"/>
      <c r="C21" s="45"/>
      <c r="D21" s="145">
        <f>ROUND((55000/26*2),-1)</f>
        <v>4230</v>
      </c>
      <c r="E21" s="145">
        <f t="shared" ref="E21" si="6">ROUND((55000/26*2),-1)</f>
        <v>4230</v>
      </c>
      <c r="F21" s="145">
        <f>ROUND((55000/26*2),-1)+800</f>
        <v>5030</v>
      </c>
      <c r="G21" s="145">
        <v>5650</v>
      </c>
      <c r="H21" s="145">
        <v>7850</v>
      </c>
      <c r="I21" s="145">
        <v>13450</v>
      </c>
      <c r="J21" s="145">
        <v>16250</v>
      </c>
      <c r="K21" s="145">
        <v>9250</v>
      </c>
      <c r="L21" s="145">
        <v>9250</v>
      </c>
      <c r="M21" s="145">
        <v>9250</v>
      </c>
      <c r="N21" s="145">
        <f>ROUND((55000/26*2),-1)+3000</f>
        <v>7230</v>
      </c>
      <c r="O21" s="145">
        <f>ROUND((55000/26*3),-1)</f>
        <v>6350</v>
      </c>
      <c r="P21" s="48"/>
      <c r="Q21" s="139">
        <f>SUM(D21:O21)</f>
        <v>98020</v>
      </c>
      <c r="R21" s="243" t="s">
        <v>11</v>
      </c>
      <c r="S21" s="53">
        <v>92180.34</v>
      </c>
      <c r="T21" s="85"/>
      <c r="U21" s="85">
        <f>+Q21-S21</f>
        <v>5839.6600000000035</v>
      </c>
      <c r="V21" s="143"/>
    </row>
    <row r="22" spans="1:25" s="127" customFormat="1" ht="27" customHeight="1">
      <c r="A22" s="464"/>
      <c r="B22" s="124"/>
      <c r="C22" s="124"/>
      <c r="D22" s="141">
        <f t="shared" ref="D22:O22" si="7">IF(+D$21=0," ",D23/+D$21)</f>
        <v>0.24113475177304963</v>
      </c>
      <c r="E22" s="141">
        <f t="shared" si="7"/>
        <v>0.24822695035460993</v>
      </c>
      <c r="F22" s="141">
        <f t="shared" si="7"/>
        <v>0.22465208747514911</v>
      </c>
      <c r="G22" s="141">
        <f t="shared" si="7"/>
        <v>0.22477876106194691</v>
      </c>
      <c r="H22" s="141">
        <f t="shared" si="7"/>
        <v>0.23821656050955414</v>
      </c>
      <c r="I22" s="141">
        <f t="shared" si="7"/>
        <v>0.24907063197026022</v>
      </c>
      <c r="J22" s="141">
        <f t="shared" si="7"/>
        <v>0.22523076923076923</v>
      </c>
      <c r="K22" s="141">
        <f t="shared" si="7"/>
        <v>0.25405405405405407</v>
      </c>
      <c r="L22" s="141">
        <f t="shared" si="7"/>
        <v>0.25405405405405407</v>
      </c>
      <c r="M22" s="141">
        <f t="shared" si="7"/>
        <v>0.25405405405405407</v>
      </c>
      <c r="N22" s="141">
        <f t="shared" si="7"/>
        <v>0.23651452282157676</v>
      </c>
      <c r="O22" s="141">
        <f t="shared" si="7"/>
        <v>0.22677165354330708</v>
      </c>
      <c r="P22" s="147"/>
      <c r="Q22" s="141">
        <f t="shared" ref="Q22" si="8">IF(+Q$21=0," ",Q23/+Q$21)</f>
        <v>0.24025709038971638</v>
      </c>
      <c r="R22" s="243" t="s">
        <v>11</v>
      </c>
      <c r="S22" s="133">
        <v>0.16635465009335559</v>
      </c>
      <c r="T22" s="124"/>
      <c r="U22" s="134"/>
      <c r="V22" s="143"/>
    </row>
    <row r="23" spans="1:25" s="44" customFormat="1" ht="34.5" customHeight="1">
      <c r="A23" s="453" t="s">
        <v>167</v>
      </c>
      <c r="B23" s="45"/>
      <c r="C23" s="45"/>
      <c r="D23" s="145">
        <f>ROUND((D21*22.35%),-1)+70</f>
        <v>1020</v>
      </c>
      <c r="E23" s="145">
        <v>1050</v>
      </c>
      <c r="F23" s="145">
        <f t="shared" ref="F23:J23" si="9">ROUND((F21*22.5%),-1)</f>
        <v>1130</v>
      </c>
      <c r="G23" s="145">
        <f t="shared" si="9"/>
        <v>1270</v>
      </c>
      <c r="H23" s="145">
        <v>1870</v>
      </c>
      <c r="I23" s="145">
        <v>3350</v>
      </c>
      <c r="J23" s="145">
        <f t="shared" si="9"/>
        <v>3660</v>
      </c>
      <c r="K23" s="145">
        <v>2350</v>
      </c>
      <c r="L23" s="145">
        <v>2350</v>
      </c>
      <c r="M23" s="145">
        <v>2350</v>
      </c>
      <c r="N23" s="145">
        <v>1710</v>
      </c>
      <c r="O23" s="145">
        <f>ROUND((O21*22.5%),-1)+10</f>
        <v>1440</v>
      </c>
      <c r="P23" s="48"/>
      <c r="Q23" s="139">
        <f t="shared" ref="Q23:Q49" si="10">SUM(D23:O23)</f>
        <v>23550</v>
      </c>
      <c r="R23" s="243" t="s">
        <v>11</v>
      </c>
      <c r="S23" s="53">
        <v>26019.079999999998</v>
      </c>
      <c r="T23" s="51"/>
      <c r="U23" s="85">
        <f>+Q23-S23</f>
        <v>-2469.0799999999981</v>
      </c>
      <c r="V23" s="143"/>
    </row>
    <row r="24" spans="1:25" s="127" customFormat="1" ht="27" customHeight="1">
      <c r="A24" s="464"/>
      <c r="B24" s="124"/>
      <c r="C24" s="124"/>
      <c r="D24" s="141" t="str">
        <f t="shared" ref="D24:O24" si="11">IF((+D$7+D$8)=0," ",D25/(+D$7+D$8))</f>
        <v xml:space="preserve"> </v>
      </c>
      <c r="E24" s="141">
        <f t="shared" si="11"/>
        <v>6.9230769230769235E-2</v>
      </c>
      <c r="F24" s="141">
        <f t="shared" si="11"/>
        <v>0</v>
      </c>
      <c r="G24" s="141">
        <f t="shared" si="11"/>
        <v>0</v>
      </c>
      <c r="H24" s="141">
        <f t="shared" si="11"/>
        <v>0</v>
      </c>
      <c r="I24" s="141">
        <f t="shared" si="11"/>
        <v>2.8328611898016999E-3</v>
      </c>
      <c r="J24" s="141">
        <f t="shared" si="11"/>
        <v>3.0092592592592593E-3</v>
      </c>
      <c r="K24" s="141">
        <f t="shared" si="11"/>
        <v>0</v>
      </c>
      <c r="L24" s="141">
        <f t="shared" si="11"/>
        <v>0</v>
      </c>
      <c r="M24" s="141">
        <f t="shared" si="11"/>
        <v>4.0909090909090912E-3</v>
      </c>
      <c r="N24" s="141">
        <f t="shared" si="11"/>
        <v>1.201716738197425E-2</v>
      </c>
      <c r="O24" s="141">
        <f t="shared" si="11"/>
        <v>0</v>
      </c>
      <c r="P24" s="124"/>
      <c r="Q24" s="141">
        <f>IF((+Q$7+Q$8)=0," ",(+Q25+Q26)/(+Q$7+Q$8))</f>
        <v>2.9215082641863067E-3</v>
      </c>
      <c r="R24" s="243" t="s">
        <v>11</v>
      </c>
      <c r="S24" s="133">
        <v>5.9714927609831985E-2</v>
      </c>
      <c r="T24" s="124"/>
      <c r="U24" s="134"/>
      <c r="V24" s="143"/>
    </row>
    <row r="25" spans="1:25" s="44" customFormat="1" ht="35.1" customHeight="1">
      <c r="A25" s="453" t="s">
        <v>168</v>
      </c>
      <c r="B25" s="45"/>
      <c r="C25" s="45"/>
      <c r="D25" s="145">
        <v>0</v>
      </c>
      <c r="E25" s="145">
        <v>180</v>
      </c>
      <c r="F25" s="145">
        <v>0</v>
      </c>
      <c r="G25" s="145">
        <v>0</v>
      </c>
      <c r="H25" s="145">
        <v>0</v>
      </c>
      <c r="I25" s="145">
        <v>200</v>
      </c>
      <c r="J25" s="145">
        <v>260</v>
      </c>
      <c r="K25" s="145">
        <v>0</v>
      </c>
      <c r="L25" s="145">
        <v>0</v>
      </c>
      <c r="M25" s="145">
        <v>180</v>
      </c>
      <c r="N25" s="145">
        <v>280</v>
      </c>
      <c r="O25" s="145">
        <v>0</v>
      </c>
      <c r="P25" s="48"/>
      <c r="Q25" s="139">
        <f t="shared" si="10"/>
        <v>1100</v>
      </c>
      <c r="R25" s="243" t="s">
        <v>11</v>
      </c>
      <c r="S25" s="53">
        <f>9339.85+1634</f>
        <v>10973.85</v>
      </c>
      <c r="T25" s="51"/>
      <c r="U25" s="85">
        <f>+Q25-S25</f>
        <v>-9873.85</v>
      </c>
      <c r="V25" s="143"/>
    </row>
    <row r="26" spans="1:25" s="127" customFormat="1" ht="27" customHeight="1">
      <c r="A26" s="124"/>
      <c r="B26" s="124"/>
      <c r="C26" s="124"/>
      <c r="D26" s="141" t="str">
        <f t="shared" ref="D26:O26" si="12">IF(+D$7=0," ",D27/+D$7)</f>
        <v xml:space="preserve"> </v>
      </c>
      <c r="E26" s="141">
        <f t="shared" si="12"/>
        <v>0.23636363636363636</v>
      </c>
      <c r="F26" s="141">
        <f t="shared" si="12"/>
        <v>0.24081632653061225</v>
      </c>
      <c r="G26" s="141">
        <f t="shared" si="12"/>
        <v>0.23970588235294119</v>
      </c>
      <c r="H26" s="141">
        <f t="shared" si="12"/>
        <v>0.24</v>
      </c>
      <c r="I26" s="141">
        <f t="shared" si="12"/>
        <v>0.24</v>
      </c>
      <c r="J26" s="141">
        <f t="shared" si="12"/>
        <v>0.24</v>
      </c>
      <c r="K26" s="141">
        <f t="shared" si="12"/>
        <v>0.24</v>
      </c>
      <c r="L26" s="141">
        <f t="shared" si="12"/>
        <v>0.24055555555555555</v>
      </c>
      <c r="M26" s="141">
        <f t="shared" si="12"/>
        <v>0.24</v>
      </c>
      <c r="N26" s="141">
        <f t="shared" si="12"/>
        <v>0.23979591836734693</v>
      </c>
      <c r="O26" s="141">
        <f t="shared" si="12"/>
        <v>0.23636363636363636</v>
      </c>
      <c r="P26" s="124"/>
      <c r="Q26" s="438">
        <f>IF(+Q$7=0," ",Q27/+Q$7)</f>
        <v>0.24001229256299939</v>
      </c>
      <c r="R26" s="243" t="s">
        <v>11</v>
      </c>
      <c r="S26" s="133">
        <v>1.0443886598891906E-2</v>
      </c>
      <c r="T26" s="124"/>
      <c r="U26" s="134"/>
      <c r="V26" s="143"/>
    </row>
    <row r="27" spans="1:25" s="44" customFormat="1" ht="35.1" customHeight="1">
      <c r="A27" s="453" t="s">
        <v>156</v>
      </c>
      <c r="B27" s="45"/>
      <c r="C27" s="45"/>
      <c r="D27" s="145">
        <f t="shared" ref="D27" si="13">ROUND((D7*25%),-1)</f>
        <v>0</v>
      </c>
      <c r="E27" s="145">
        <f>ROUND((E7*24%),-1)</f>
        <v>260</v>
      </c>
      <c r="F27" s="145">
        <f t="shared" ref="F27:O27" si="14">ROUND((F7*24%),-1)</f>
        <v>1180</v>
      </c>
      <c r="G27" s="145">
        <f t="shared" si="14"/>
        <v>1630</v>
      </c>
      <c r="H27" s="145">
        <f t="shared" si="14"/>
        <v>2520</v>
      </c>
      <c r="I27" s="145">
        <f t="shared" si="14"/>
        <v>7440</v>
      </c>
      <c r="J27" s="145">
        <f t="shared" si="14"/>
        <v>9120</v>
      </c>
      <c r="K27" s="145">
        <f t="shared" si="14"/>
        <v>5400</v>
      </c>
      <c r="L27" s="145">
        <f>ROUND((L7*24%),-1)+10</f>
        <v>4330</v>
      </c>
      <c r="M27" s="145">
        <f t="shared" si="14"/>
        <v>4560</v>
      </c>
      <c r="N27" s="145">
        <f t="shared" si="14"/>
        <v>2350</v>
      </c>
      <c r="O27" s="145">
        <f t="shared" si="14"/>
        <v>260</v>
      </c>
      <c r="P27" s="48"/>
      <c r="Q27" s="139">
        <f t="shared" si="10"/>
        <v>39050</v>
      </c>
      <c r="R27" s="243" t="s">
        <v>11</v>
      </c>
      <c r="S27" s="53">
        <v>48951.95</v>
      </c>
      <c r="T27" s="51"/>
      <c r="U27" s="85">
        <f>+Q27-S27</f>
        <v>-9901.9499999999971</v>
      </c>
      <c r="V27" s="143"/>
      <c r="X27" s="127"/>
    </row>
    <row r="28" spans="1:25" s="127" customFormat="1" ht="27" customHeight="1">
      <c r="A28" s="464"/>
      <c r="B28" s="124"/>
      <c r="C28" s="124"/>
      <c r="D28" s="141" t="str">
        <f t="shared" ref="D28:O28" si="15">IF((+D$7+D$8)=0," ",D29/(+D$7+D$8))</f>
        <v xml:space="preserve"> </v>
      </c>
      <c r="E28" s="141">
        <f t="shared" si="15"/>
        <v>3.8461538461538464E-2</v>
      </c>
      <c r="F28" s="141">
        <f t="shared" si="15"/>
        <v>9.0090090090090089E-3</v>
      </c>
      <c r="G28" s="141">
        <f t="shared" si="15"/>
        <v>6.4935064935064939E-3</v>
      </c>
      <c r="H28" s="141">
        <f t="shared" si="15"/>
        <v>8.23045267489712E-3</v>
      </c>
      <c r="I28" s="141">
        <f t="shared" si="15"/>
        <v>4.9575070821529744E-3</v>
      </c>
      <c r="J28" s="141">
        <f t="shared" si="15"/>
        <v>4.0509259259259257E-3</v>
      </c>
      <c r="K28" s="141">
        <f t="shared" si="15"/>
        <v>6.5420560747663555E-3</v>
      </c>
      <c r="L28" s="141">
        <f t="shared" si="15"/>
        <v>8.2352941176470594E-3</v>
      </c>
      <c r="M28" s="141">
        <f t="shared" si="15"/>
        <v>2.2727272727272726E-3</v>
      </c>
      <c r="N28" s="141">
        <f t="shared" si="15"/>
        <v>4.2918454935622317E-3</v>
      </c>
      <c r="O28" s="141">
        <f t="shared" si="15"/>
        <v>1.7241379310344827E-2</v>
      </c>
      <c r="P28" s="124"/>
      <c r="Q28" s="141">
        <f t="shared" ref="Q28" si="16">IF(+Q$21=0," ",Q29/+Q$21)</f>
        <v>2.2444399102224035E-2</v>
      </c>
      <c r="R28" s="243" t="s">
        <v>11</v>
      </c>
      <c r="S28" s="133">
        <v>2.8493109240624266E-2</v>
      </c>
      <c r="T28" s="124"/>
      <c r="U28" s="134"/>
      <c r="V28" s="143"/>
    </row>
    <row r="29" spans="1:25" s="44" customFormat="1" ht="35.1" customHeight="1">
      <c r="A29" s="453" t="s">
        <v>157</v>
      </c>
      <c r="B29" s="45"/>
      <c r="C29" s="45"/>
      <c r="D29" s="145">
        <v>50</v>
      </c>
      <c r="E29" s="145">
        <v>100</v>
      </c>
      <c r="F29" s="145">
        <v>100</v>
      </c>
      <c r="G29" s="145">
        <v>100</v>
      </c>
      <c r="H29" s="145">
        <v>200</v>
      </c>
      <c r="I29" s="145">
        <v>350</v>
      </c>
      <c r="J29" s="145">
        <f>I29</f>
        <v>350</v>
      </c>
      <c r="K29" s="145">
        <f>J29</f>
        <v>350</v>
      </c>
      <c r="L29" s="145">
        <f>K29</f>
        <v>350</v>
      </c>
      <c r="M29" s="145">
        <f>G29</f>
        <v>100</v>
      </c>
      <c r="N29" s="145">
        <f>M29</f>
        <v>100</v>
      </c>
      <c r="O29" s="145">
        <v>50</v>
      </c>
      <c r="P29" s="48"/>
      <c r="Q29" s="139">
        <f t="shared" si="10"/>
        <v>2200</v>
      </c>
      <c r="R29" s="243" t="s">
        <v>11</v>
      </c>
      <c r="S29" s="53">
        <v>4456.53</v>
      </c>
      <c r="T29" s="51"/>
      <c r="U29" s="85">
        <f>+Q29-S29</f>
        <v>-2256.5299999999997</v>
      </c>
      <c r="V29" s="143"/>
    </row>
    <row r="30" spans="1:25" s="127" customFormat="1" ht="27" customHeight="1">
      <c r="A30" s="464"/>
      <c r="B30" s="148"/>
      <c r="C30" s="148"/>
      <c r="D30" s="141" t="str">
        <f>IF((+D$7+D$8)=0," ",D31/(+D$7+D$8))</f>
        <v xml:space="preserve"> </v>
      </c>
      <c r="E30" s="141">
        <f>IF((+E$7+E$8)=0," ",E31/(+E$7+E$8))</f>
        <v>2.1153846153846154</v>
      </c>
      <c r="F30" s="141">
        <f>IF((+F$7+F$8)=0," ",F31/(+F$7+F$8))</f>
        <v>0.46846846846846846</v>
      </c>
      <c r="G30" s="141">
        <f>IF((+G$7+G$8)=0," ",G31/(+G$7+G$8))</f>
        <v>0.23376623376623376</v>
      </c>
      <c r="H30" s="141">
        <f>IF((+H$7+H$8)=0," ",H31/(+H$7+H$8))</f>
        <v>0.15226337448559671</v>
      </c>
      <c r="I30" s="141">
        <f>IF((O33+I$7+I$8)=0," ",I31/(+I$7+I$8))</f>
        <v>8.4985835694050993E-2</v>
      </c>
      <c r="J30" s="141">
        <f>IF((P33+J$7+J$8)=0," ",J31/(+J$7+J$8))</f>
        <v>6.9444444444444448E-2</v>
      </c>
      <c r="K30" s="141">
        <f t="shared" ref="K30:O30" si="17">IF((+K$7+K$8)=0," ",K31/(+K$7+K$8))</f>
        <v>6.5420560747663545E-2</v>
      </c>
      <c r="L30" s="141">
        <f t="shared" si="17"/>
        <v>9.4117647058823528E-2</v>
      </c>
      <c r="M30" s="141">
        <f t="shared" si="17"/>
        <v>7.9545454545454544E-2</v>
      </c>
      <c r="N30" s="141">
        <f t="shared" si="17"/>
        <v>0.19313304721030042</v>
      </c>
      <c r="O30" s="141">
        <f t="shared" si="17"/>
        <v>1.2068965517241379</v>
      </c>
      <c r="P30" s="124"/>
      <c r="Q30" s="141">
        <f>IF((+Q$7+Q$8)=0," ",(+Q31+Q32)/(+Q$7+Q$8))</f>
        <v>0.14498170877366853</v>
      </c>
      <c r="R30" s="243" t="s">
        <v>11</v>
      </c>
      <c r="S30" s="133">
        <v>0.34025600724876698</v>
      </c>
      <c r="T30" s="124"/>
      <c r="U30" s="134"/>
      <c r="V30" s="143"/>
    </row>
    <row r="31" spans="1:25" s="44" customFormat="1" ht="35.1" customHeight="1">
      <c r="A31" s="453" t="s">
        <v>158</v>
      </c>
      <c r="B31" s="149"/>
      <c r="C31" s="149"/>
      <c r="D31" s="145">
        <v>5600</v>
      </c>
      <c r="E31" s="145">
        <v>5500</v>
      </c>
      <c r="F31" s="145">
        <v>5200</v>
      </c>
      <c r="G31" s="145">
        <v>3600</v>
      </c>
      <c r="H31" s="145">
        <v>3700</v>
      </c>
      <c r="I31" s="145">
        <v>6000</v>
      </c>
      <c r="J31" s="145">
        <v>6000</v>
      </c>
      <c r="K31" s="145">
        <v>3500</v>
      </c>
      <c r="L31" s="145">
        <v>4000</v>
      </c>
      <c r="M31" s="145">
        <v>3500</v>
      </c>
      <c r="N31" s="145">
        <v>4500</v>
      </c>
      <c r="O31" s="145">
        <v>3500</v>
      </c>
      <c r="P31" s="48"/>
      <c r="Q31" s="139">
        <f>SUM(D31:O31)</f>
        <v>54600</v>
      </c>
      <c r="R31" s="243" t="s">
        <v>11</v>
      </c>
      <c r="S31" s="53">
        <v>53218.520000000004</v>
      </c>
      <c r="T31" s="51"/>
      <c r="U31" s="85">
        <f>+Q31-S31</f>
        <v>1381.4799999999959</v>
      </c>
      <c r="V31" s="143"/>
    </row>
    <row r="32" spans="1:25" s="127" customFormat="1" ht="27" customHeight="1">
      <c r="A32" s="464"/>
      <c r="B32" s="124"/>
      <c r="C32" s="124"/>
      <c r="D32" s="141" t="str">
        <f t="shared" ref="D32:O32" si="18">IF((+D$7+D$8)=0," ",D33/(+D$7+D$8))</f>
        <v xml:space="preserve"> </v>
      </c>
      <c r="E32" s="141">
        <f t="shared" si="18"/>
        <v>1.3461538461538463</v>
      </c>
      <c r="F32" s="141">
        <f t="shared" si="18"/>
        <v>0.31531531531531531</v>
      </c>
      <c r="G32" s="141">
        <f t="shared" si="18"/>
        <v>0.22727272727272727</v>
      </c>
      <c r="H32" s="141">
        <f t="shared" si="18"/>
        <v>0.1440329218106996</v>
      </c>
      <c r="I32" s="141">
        <f t="shared" si="18"/>
        <v>4.9575070821529746E-2</v>
      </c>
      <c r="J32" s="141">
        <f t="shared" si="18"/>
        <v>4.0509259259259259E-2</v>
      </c>
      <c r="K32" s="141">
        <f t="shared" si="18"/>
        <v>6.5420560747663545E-2</v>
      </c>
      <c r="L32" s="141">
        <f t="shared" si="18"/>
        <v>8.2352941176470587E-2</v>
      </c>
      <c r="M32" s="141">
        <f t="shared" si="18"/>
        <v>7.9545454545454544E-2</v>
      </c>
      <c r="N32" s="141">
        <f t="shared" si="18"/>
        <v>0.15021459227467812</v>
      </c>
      <c r="O32" s="141">
        <f t="shared" si="18"/>
        <v>1.2068965517241379</v>
      </c>
      <c r="P32" s="124"/>
      <c r="Q32" s="141">
        <f>IF((+Q$7+Q$8)=0," ",Q33/(+Q$7+Q$8))</f>
        <v>0.11152416356877323</v>
      </c>
      <c r="R32" s="243" t="s">
        <v>11</v>
      </c>
      <c r="S32" s="133">
        <v>0.24090948701943496</v>
      </c>
      <c r="T32" s="124"/>
      <c r="U32" s="134"/>
      <c r="V32" s="143"/>
    </row>
    <row r="33" spans="1:25" s="44" customFormat="1" ht="35.1" customHeight="1">
      <c r="A33" s="453" t="s">
        <v>159</v>
      </c>
      <c r="B33" s="268"/>
      <c r="C33" s="268"/>
      <c r="D33" s="292">
        <v>3500</v>
      </c>
      <c r="E33" s="292">
        <f>D33</f>
        <v>3500</v>
      </c>
      <c r="F33" s="292">
        <f t="shared" ref="F33:O33" si="19">E33</f>
        <v>3500</v>
      </c>
      <c r="G33" s="292">
        <f t="shared" si="19"/>
        <v>3500</v>
      </c>
      <c r="H33" s="292">
        <f t="shared" si="19"/>
        <v>3500</v>
      </c>
      <c r="I33" s="292">
        <f t="shared" si="19"/>
        <v>3500</v>
      </c>
      <c r="J33" s="292">
        <f t="shared" si="19"/>
        <v>3500</v>
      </c>
      <c r="K33" s="292">
        <f t="shared" si="19"/>
        <v>3500</v>
      </c>
      <c r="L33" s="292">
        <f t="shared" si="19"/>
        <v>3500</v>
      </c>
      <c r="M33" s="292">
        <f t="shared" si="19"/>
        <v>3500</v>
      </c>
      <c r="N33" s="292">
        <f>M33</f>
        <v>3500</v>
      </c>
      <c r="O33" s="292">
        <f t="shared" si="19"/>
        <v>3500</v>
      </c>
      <c r="P33" s="11"/>
      <c r="Q33" s="269">
        <f>SUM(D33:O33)</f>
        <v>42000</v>
      </c>
      <c r="R33" s="243" t="s">
        <v>11</v>
      </c>
      <c r="S33" s="425">
        <v>37680</v>
      </c>
      <c r="T33" s="51"/>
      <c r="U33" s="85">
        <f>+Q33-S33</f>
        <v>4320</v>
      </c>
      <c r="V33" s="143"/>
      <c r="Y33" s="440">
        <f>SUM(D33:O33)</f>
        <v>42000</v>
      </c>
    </row>
    <row r="34" spans="1:25" s="127" customFormat="1" ht="27" customHeight="1">
      <c r="A34" s="464"/>
      <c r="B34" s="124"/>
      <c r="C34" s="124"/>
      <c r="D34" s="141" t="str">
        <f t="shared" ref="D34:O34" si="20">IF((+D$7+D$8)=0," ",D35/(+D$7+D$8))</f>
        <v xml:space="preserve"> </v>
      </c>
      <c r="E34" s="141">
        <f t="shared" si="20"/>
        <v>0.19230769230769232</v>
      </c>
      <c r="F34" s="141">
        <f t="shared" si="20"/>
        <v>4.5045045045045043E-2</v>
      </c>
      <c r="G34" s="141">
        <f t="shared" si="20"/>
        <v>3.2467532467532464E-2</v>
      </c>
      <c r="H34" s="141">
        <f t="shared" si="20"/>
        <v>4.1152263374485597E-2</v>
      </c>
      <c r="I34" s="141">
        <f t="shared" si="20"/>
        <v>2.1246458923512748E-2</v>
      </c>
      <c r="J34" s="141">
        <f t="shared" si="20"/>
        <v>2.3148148148148147E-2</v>
      </c>
      <c r="K34" s="141">
        <f t="shared" si="20"/>
        <v>2.8037383177570093E-2</v>
      </c>
      <c r="L34" s="141">
        <f t="shared" si="20"/>
        <v>4.7058823529411761E-3</v>
      </c>
      <c r="M34" s="141">
        <f t="shared" si="20"/>
        <v>4.5454545454545452E-3</v>
      </c>
      <c r="N34" s="141">
        <f t="shared" si="20"/>
        <v>1.2875536480686695E-2</v>
      </c>
      <c r="O34" s="141">
        <f t="shared" si="20"/>
        <v>0.10344827586206896</v>
      </c>
      <c r="P34" s="124"/>
      <c r="Q34" s="141">
        <f>IF((+Q$7+Q$8)=0," ",Q35/(+Q$7+Q$8))</f>
        <v>2.3898035050451408E-2</v>
      </c>
      <c r="R34" s="243" t="s">
        <v>11</v>
      </c>
      <c r="S34" s="133">
        <v>0.11300720062344921</v>
      </c>
      <c r="T34" s="124"/>
      <c r="U34" s="134"/>
      <c r="V34" s="143"/>
    </row>
    <row r="35" spans="1:25" s="44" customFormat="1" ht="35.1" customHeight="1">
      <c r="A35" s="453" t="s">
        <v>160</v>
      </c>
      <c r="B35" s="45"/>
      <c r="C35" s="45"/>
      <c r="D35" s="145">
        <v>500</v>
      </c>
      <c r="E35" s="145">
        <f>D35</f>
        <v>500</v>
      </c>
      <c r="F35" s="145">
        <f>E35</f>
        <v>500</v>
      </c>
      <c r="G35" s="145">
        <v>500</v>
      </c>
      <c r="H35" s="145">
        <v>1000</v>
      </c>
      <c r="I35" s="145">
        <v>1500</v>
      </c>
      <c r="J35" s="145">
        <v>2000</v>
      </c>
      <c r="K35" s="145">
        <v>1500</v>
      </c>
      <c r="L35" s="145">
        <v>200</v>
      </c>
      <c r="M35" s="145">
        <v>200</v>
      </c>
      <c r="N35" s="145">
        <v>300</v>
      </c>
      <c r="O35" s="145">
        <v>300</v>
      </c>
      <c r="P35" s="48"/>
      <c r="Q35" s="139">
        <f t="shared" si="10"/>
        <v>9000</v>
      </c>
      <c r="R35" s="243" t="s">
        <v>11</v>
      </c>
      <c r="S35" s="53">
        <v>17675.150000000001</v>
      </c>
      <c r="T35" s="51"/>
      <c r="U35" s="85">
        <f>+Q35-S35</f>
        <v>-8675.1500000000015</v>
      </c>
      <c r="V35" s="143"/>
    </row>
    <row r="36" spans="1:25" s="127" customFormat="1" ht="27" customHeight="1">
      <c r="A36" s="464"/>
      <c r="B36" s="124"/>
      <c r="C36" s="124"/>
      <c r="D36" s="141" t="str">
        <f t="shared" ref="D36:J36" si="21">IF((+D$7+D$8)=0," ",D37/(+D$7+D$8))</f>
        <v xml:space="preserve"> </v>
      </c>
      <c r="E36" s="141">
        <f t="shared" si="21"/>
        <v>0.30769230769230771</v>
      </c>
      <c r="F36" s="141">
        <f t="shared" si="21"/>
        <v>0.13513513513513514</v>
      </c>
      <c r="G36" s="141">
        <f t="shared" si="21"/>
        <v>7.792207792207792E-2</v>
      </c>
      <c r="H36" s="141">
        <f t="shared" si="21"/>
        <v>6.584362139917696E-2</v>
      </c>
      <c r="I36" s="141">
        <f t="shared" si="21"/>
        <v>4.2492917847025496E-2</v>
      </c>
      <c r="J36" s="141">
        <f t="shared" si="21"/>
        <v>4.6296296296296294E-2</v>
      </c>
      <c r="K36" s="141">
        <f>IF((+K$7+K$8)=0," ",K37/(+K$7+K$8))</f>
        <v>2.8037383177570093E-2</v>
      </c>
      <c r="L36" s="141">
        <f>IF((+L$7+L$8)=0," ",L37/(+L$7+L$8))</f>
        <v>4.7058823529411761E-3</v>
      </c>
      <c r="M36" s="141">
        <f>IF((+M$7+M$8)=0," ",M37/(+M$7+M$8))</f>
        <v>4.5454545454545452E-3</v>
      </c>
      <c r="N36" s="141">
        <f>IF((+N$7+N$8)=0," ",N37/(+N$7+N$8))</f>
        <v>2.1459227467811159E-2</v>
      </c>
      <c r="O36" s="141">
        <f>IF((+O$7+O$8)=0," ",O37/(+O$7+O$8))</f>
        <v>0.10344827586206896</v>
      </c>
      <c r="P36" s="147"/>
      <c r="Q36" s="141">
        <f>IF((+Q$7+Q$8)=0," ",Q37/(+Q$7+Q$8))</f>
        <v>4.1423260754115773E-2</v>
      </c>
      <c r="R36" s="243" t="s">
        <v>11</v>
      </c>
      <c r="S36" s="133">
        <v>9.3964737832872111E-2</v>
      </c>
      <c r="T36" s="124"/>
      <c r="U36" s="134"/>
      <c r="V36" s="143"/>
    </row>
    <row r="37" spans="1:25" s="44" customFormat="1" ht="34.5" customHeight="1">
      <c r="A37" s="453" t="s">
        <v>161</v>
      </c>
      <c r="B37" s="45"/>
      <c r="C37" s="45"/>
      <c r="D37" s="145">
        <v>800</v>
      </c>
      <c r="E37" s="145">
        <v>800</v>
      </c>
      <c r="F37" s="145">
        <v>1500</v>
      </c>
      <c r="G37" s="145">
        <v>1200</v>
      </c>
      <c r="H37" s="145">
        <v>1600</v>
      </c>
      <c r="I37" s="145">
        <v>3000</v>
      </c>
      <c r="J37" s="145">
        <v>4000</v>
      </c>
      <c r="K37" s="145">
        <v>1500</v>
      </c>
      <c r="L37" s="145">
        <v>200</v>
      </c>
      <c r="M37" s="145">
        <v>200</v>
      </c>
      <c r="N37" s="145">
        <v>500</v>
      </c>
      <c r="O37" s="145">
        <v>300</v>
      </c>
      <c r="P37" s="138"/>
      <c r="Q37" s="139">
        <f t="shared" si="10"/>
        <v>15600</v>
      </c>
      <c r="R37" s="243" t="s">
        <v>11</v>
      </c>
      <c r="S37" s="53">
        <v>14696.77</v>
      </c>
      <c r="T37" s="51"/>
      <c r="U37" s="85">
        <f>+Q37-S37</f>
        <v>903.22999999999956</v>
      </c>
      <c r="V37" s="143"/>
    </row>
    <row r="38" spans="1:25" s="127" customFormat="1" ht="27" customHeight="1">
      <c r="A38" s="124"/>
      <c r="B38" s="124"/>
      <c r="C38" s="124"/>
      <c r="D38" s="141" t="str">
        <f t="shared" ref="D38:P38" si="22">IF((+D$7+D$8)=0," ",D39/(+D$7+D$8))</f>
        <v xml:space="preserve"> </v>
      </c>
      <c r="E38" s="141">
        <f t="shared" si="22"/>
        <v>0</v>
      </c>
      <c r="F38" s="141">
        <f t="shared" si="22"/>
        <v>0</v>
      </c>
      <c r="G38" s="141">
        <f t="shared" si="22"/>
        <v>0</v>
      </c>
      <c r="H38" s="141">
        <f t="shared" si="22"/>
        <v>0</v>
      </c>
      <c r="I38" s="141">
        <f t="shared" si="22"/>
        <v>0</v>
      </c>
      <c r="J38" s="141">
        <f t="shared" si="22"/>
        <v>0</v>
      </c>
      <c r="K38" s="141">
        <f t="shared" si="22"/>
        <v>0</v>
      </c>
      <c r="L38" s="141">
        <f t="shared" si="22"/>
        <v>0</v>
      </c>
      <c r="M38" s="141">
        <f t="shared" si="22"/>
        <v>0</v>
      </c>
      <c r="N38" s="141">
        <f t="shared" si="22"/>
        <v>0</v>
      </c>
      <c r="O38" s="141">
        <f t="shared" si="22"/>
        <v>0</v>
      </c>
      <c r="P38" s="147" t="str">
        <f t="shared" si="22"/>
        <v xml:space="preserve"> </v>
      </c>
      <c r="Q38" s="141">
        <f>IF((+Q$7+Q$8)=0," ",Q39/(+Q$7+Q$8))</f>
        <v>0</v>
      </c>
      <c r="R38" s="243" t="s">
        <v>11</v>
      </c>
      <c r="S38" s="133">
        <v>0</v>
      </c>
      <c r="T38" s="124"/>
      <c r="U38" s="134"/>
      <c r="V38" s="143"/>
    </row>
    <row r="39" spans="1:25" s="153" customFormat="1" ht="33.75" customHeight="1">
      <c r="A39" s="268" t="s">
        <v>169</v>
      </c>
      <c r="B39" s="268"/>
      <c r="C39" s="268"/>
      <c r="D39" s="292">
        <v>0</v>
      </c>
      <c r="E39" s="292">
        <v>0</v>
      </c>
      <c r="F39" s="292">
        <v>0</v>
      </c>
      <c r="G39" s="292">
        <v>0</v>
      </c>
      <c r="H39" s="292">
        <v>0</v>
      </c>
      <c r="I39" s="292">
        <v>0</v>
      </c>
      <c r="J39" s="292">
        <v>0</v>
      </c>
      <c r="K39" s="292">
        <v>0</v>
      </c>
      <c r="L39" s="292">
        <v>0</v>
      </c>
      <c r="M39" s="292">
        <v>0</v>
      </c>
      <c r="N39" s="292">
        <v>0</v>
      </c>
      <c r="O39" s="292">
        <v>0</v>
      </c>
      <c r="P39" s="11"/>
      <c r="Q39" s="269">
        <f t="shared" si="10"/>
        <v>0</v>
      </c>
      <c r="R39" s="243" t="s">
        <v>11</v>
      </c>
      <c r="S39" s="425">
        <v>0</v>
      </c>
      <c r="T39" s="138"/>
      <c r="U39" s="85">
        <f>+Q39-S39</f>
        <v>0</v>
      </c>
      <c r="V39" s="143"/>
    </row>
    <row r="40" spans="1:25" s="127" customFormat="1" ht="27" customHeight="1">
      <c r="A40" s="464"/>
      <c r="B40" s="124"/>
      <c r="C40" s="124"/>
      <c r="D40" s="141" t="str">
        <f t="shared" ref="D40:O40" si="23">IF((+D$7+D$8)=0," ",D41/(+D$7+D$8))</f>
        <v xml:space="preserve"> </v>
      </c>
      <c r="E40" s="141">
        <f t="shared" si="23"/>
        <v>5.7692307692307696E-2</v>
      </c>
      <c r="F40" s="141">
        <f t="shared" si="23"/>
        <v>1.3513513513513514E-2</v>
      </c>
      <c r="G40" s="141">
        <f t="shared" si="23"/>
        <v>1.2987012987012988E-2</v>
      </c>
      <c r="H40" s="141">
        <f t="shared" si="23"/>
        <v>6.1728395061728392E-3</v>
      </c>
      <c r="I40" s="141">
        <f t="shared" si="23"/>
        <v>2.124645892351275E-3</v>
      </c>
      <c r="J40" s="141">
        <f t="shared" si="23"/>
        <v>2.8935185185185184E-3</v>
      </c>
      <c r="K40" s="141">
        <f t="shared" si="23"/>
        <v>2.8037383177570091E-3</v>
      </c>
      <c r="L40" s="141">
        <f t="shared" si="23"/>
        <v>5.8823529411764705E-3</v>
      </c>
      <c r="M40" s="141">
        <f t="shared" si="23"/>
        <v>3.4090909090909089E-3</v>
      </c>
      <c r="N40" s="141">
        <f t="shared" si="23"/>
        <v>8.5836909871244635E-3</v>
      </c>
      <c r="O40" s="141">
        <f t="shared" si="23"/>
        <v>5.1724137931034482E-2</v>
      </c>
      <c r="P40" s="124"/>
      <c r="Q40" s="141">
        <f>IF((+Q$7+Q$8)=0," ",Q41/(+Q$7+Q$8))</f>
        <v>5.5762081784386614E-3</v>
      </c>
      <c r="R40" s="243" t="s">
        <v>11</v>
      </c>
      <c r="S40" s="133">
        <v>4.8830844137763649E-3</v>
      </c>
      <c r="T40" s="124"/>
      <c r="U40" s="134"/>
      <c r="V40" s="143"/>
    </row>
    <row r="41" spans="1:25" s="44" customFormat="1" ht="35.1" customHeight="1">
      <c r="A41" s="453" t="s">
        <v>163</v>
      </c>
      <c r="B41" s="45"/>
      <c r="C41" s="45"/>
      <c r="D41" s="145">
        <v>150</v>
      </c>
      <c r="E41" s="145">
        <v>150</v>
      </c>
      <c r="F41" s="145">
        <v>150</v>
      </c>
      <c r="G41" s="145">
        <v>200</v>
      </c>
      <c r="H41" s="145">
        <v>150</v>
      </c>
      <c r="I41" s="145">
        <v>150</v>
      </c>
      <c r="J41" s="145">
        <v>250</v>
      </c>
      <c r="K41" s="145">
        <v>150</v>
      </c>
      <c r="L41" s="145">
        <v>250</v>
      </c>
      <c r="M41" s="145">
        <v>150</v>
      </c>
      <c r="N41" s="145">
        <v>200</v>
      </c>
      <c r="O41" s="145">
        <v>150</v>
      </c>
      <c r="P41" s="48"/>
      <c r="Q41" s="139">
        <f>SUM(D41:O41)</f>
        <v>2100</v>
      </c>
      <c r="R41" s="243" t="s">
        <v>11</v>
      </c>
      <c r="S41" s="53">
        <v>763.75</v>
      </c>
      <c r="T41" s="51"/>
      <c r="U41" s="85">
        <f>+Q41-S41</f>
        <v>1336.25</v>
      </c>
      <c r="V41" s="143"/>
    </row>
    <row r="42" spans="1:25" s="127" customFormat="1" ht="27" customHeight="1">
      <c r="B42" s="124"/>
      <c r="C42" s="124"/>
      <c r="D42" s="141" t="str">
        <f t="shared" ref="D42:O42" si="24">IF((+D$7+D$8)=0," ",D43/(+D$7+D$8))</f>
        <v xml:space="preserve"> </v>
      </c>
      <c r="E42" s="141">
        <f t="shared" si="24"/>
        <v>9.6153846153846159E-2</v>
      </c>
      <c r="F42" s="141">
        <f t="shared" si="24"/>
        <v>2.2522522522522521E-2</v>
      </c>
      <c r="G42" s="141">
        <f t="shared" si="24"/>
        <v>2.5974025974025976E-2</v>
      </c>
      <c r="H42" s="141">
        <f t="shared" si="24"/>
        <v>1.2345679012345678E-2</v>
      </c>
      <c r="I42" s="141">
        <f t="shared" si="24"/>
        <v>3.5410764872521247E-3</v>
      </c>
      <c r="J42" s="141">
        <f t="shared" si="24"/>
        <v>2.8935185185185184E-3</v>
      </c>
      <c r="K42" s="141">
        <f t="shared" si="24"/>
        <v>5.6074766355140183E-3</v>
      </c>
      <c r="L42" s="141">
        <f t="shared" si="24"/>
        <v>8.2352941176470594E-3</v>
      </c>
      <c r="M42" s="141">
        <f t="shared" si="24"/>
        <v>1.4772727272727272E-2</v>
      </c>
      <c r="N42" s="141">
        <f t="shared" si="24"/>
        <v>1.0729613733905579E-2</v>
      </c>
      <c r="O42" s="141">
        <f t="shared" si="24"/>
        <v>8.6206896551724144E-2</v>
      </c>
      <c r="P42" s="124"/>
      <c r="Q42" s="141">
        <f>IF((+Q$7+Q$8)=0," ",Q43/(+Q$7+Q$8))</f>
        <v>9.8247477429633558E-3</v>
      </c>
      <c r="R42" s="243" t="s">
        <v>11</v>
      </c>
      <c r="S42" s="133">
        <v>3.0977072743859954E-2</v>
      </c>
      <c r="T42" s="124"/>
      <c r="U42" s="134"/>
      <c r="V42" s="143"/>
    </row>
    <row r="43" spans="1:25" s="44" customFormat="1" ht="35.1" customHeight="1">
      <c r="A43" s="465" t="s">
        <v>162</v>
      </c>
      <c r="B43" s="45"/>
      <c r="C43" s="45"/>
      <c r="D43" s="145">
        <v>200</v>
      </c>
      <c r="E43" s="145">
        <v>250</v>
      </c>
      <c r="F43" s="145">
        <v>250</v>
      </c>
      <c r="G43" s="145">
        <v>400</v>
      </c>
      <c r="H43" s="145">
        <v>300</v>
      </c>
      <c r="I43" s="145">
        <v>250</v>
      </c>
      <c r="J43" s="145">
        <v>250</v>
      </c>
      <c r="K43" s="145">
        <v>300</v>
      </c>
      <c r="L43" s="145">
        <v>350</v>
      </c>
      <c r="M43" s="145">
        <v>650</v>
      </c>
      <c r="N43" s="145">
        <v>250</v>
      </c>
      <c r="O43" s="145">
        <v>250</v>
      </c>
      <c r="P43" s="48"/>
      <c r="Q43" s="139">
        <f t="shared" si="10"/>
        <v>3700</v>
      </c>
      <c r="R43" s="243" t="s">
        <v>11</v>
      </c>
      <c r="S43" s="53">
        <v>4845.04</v>
      </c>
      <c r="T43" s="51"/>
      <c r="U43" s="85">
        <f>+Q43-S43</f>
        <v>-1145.04</v>
      </c>
      <c r="V43" s="143"/>
    </row>
    <row r="44" spans="1:25" s="127" customFormat="1" ht="27" customHeight="1">
      <c r="A44" s="464"/>
      <c r="B44" s="124"/>
      <c r="C44" s="124"/>
      <c r="D44" s="141" t="str">
        <f t="shared" ref="D44:O48" si="25">IF((+D$7+D$8)=0," ",D45/(+D$7+D$8))</f>
        <v xml:space="preserve"> </v>
      </c>
      <c r="E44" s="141">
        <f t="shared" si="25"/>
        <v>0.53846153846153844</v>
      </c>
      <c r="F44" s="141">
        <f t="shared" si="25"/>
        <v>3.6036036036036036E-2</v>
      </c>
      <c r="G44" s="141">
        <f t="shared" si="25"/>
        <v>6.4935064935064929E-2</v>
      </c>
      <c r="H44" s="141">
        <f t="shared" si="25"/>
        <v>0</v>
      </c>
      <c r="I44" s="141">
        <f t="shared" si="25"/>
        <v>8.4985835694050991E-4</v>
      </c>
      <c r="J44" s="141">
        <f t="shared" si="25"/>
        <v>0</v>
      </c>
      <c r="K44" s="141">
        <f t="shared" si="25"/>
        <v>0</v>
      </c>
      <c r="L44" s="141">
        <f t="shared" si="25"/>
        <v>9.4117647058823532E-4</v>
      </c>
      <c r="M44" s="141">
        <f t="shared" si="25"/>
        <v>2.2727272727272726E-3</v>
      </c>
      <c r="N44" s="141">
        <f t="shared" si="25"/>
        <v>4.2918454935622317E-2</v>
      </c>
      <c r="O44" s="141">
        <f t="shared" si="25"/>
        <v>0.34482758620689657</v>
      </c>
      <c r="P44" s="124"/>
      <c r="Q44" s="141">
        <f>IF((+Q$7+Q$8)=0," ",Q45/(+Q$7+Q$8))</f>
        <v>1.3542219861922463E-2</v>
      </c>
      <c r="R44" s="243" t="s">
        <v>11</v>
      </c>
      <c r="S44" s="133">
        <v>1.6100720113493429E-2</v>
      </c>
      <c r="T44" s="124"/>
      <c r="U44" s="134"/>
      <c r="V44" s="143"/>
    </row>
    <row r="45" spans="1:25" s="44" customFormat="1" ht="35.1" customHeight="1">
      <c r="A45" s="453" t="s">
        <v>164</v>
      </c>
      <c r="B45" s="45"/>
      <c r="C45" s="45"/>
      <c r="D45" s="145">
        <v>100</v>
      </c>
      <c r="E45" s="145">
        <v>1400</v>
      </c>
      <c r="F45" s="145">
        <v>400</v>
      </c>
      <c r="G45" s="145">
        <v>1000</v>
      </c>
      <c r="H45" s="497">
        <f>'[1]Input Wrksht '!J23+'[1]Input Wrksht '!J29+'[1]Input Wrksht '!J19</f>
        <v>0</v>
      </c>
      <c r="I45" s="145">
        <v>60</v>
      </c>
      <c r="J45" s="497">
        <f>'[1]Input Wrksht '!L23+'[1]Input Wrksht '!L29+'[1]Input Wrksht '!L19</f>
        <v>0</v>
      </c>
      <c r="K45" s="497">
        <v>0</v>
      </c>
      <c r="L45" s="145">
        <v>40</v>
      </c>
      <c r="M45" s="145">
        <v>100</v>
      </c>
      <c r="N45" s="145">
        <v>1000</v>
      </c>
      <c r="O45" s="145">
        <v>1000</v>
      </c>
      <c r="P45" s="48"/>
      <c r="Q45" s="139">
        <f t="shared" si="10"/>
        <v>5100</v>
      </c>
      <c r="R45" s="243" t="s">
        <v>11</v>
      </c>
      <c r="S45" s="53">
        <v>2518.27</v>
      </c>
      <c r="T45" s="51"/>
      <c r="U45" s="85">
        <f>+Q45-S45</f>
        <v>2581.73</v>
      </c>
      <c r="V45" s="143"/>
    </row>
    <row r="46" spans="1:25" s="127" customFormat="1" ht="27" customHeight="1">
      <c r="A46" s="124"/>
      <c r="B46" s="124"/>
      <c r="C46" s="124"/>
      <c r="D46" s="141" t="str">
        <f t="shared" si="25"/>
        <v xml:space="preserve"> </v>
      </c>
      <c r="E46" s="141">
        <f>IF((+E$7+E$8)=0," ",E47/(+E$7+E$8))</f>
        <v>7.6923076923076927E-2</v>
      </c>
      <c r="F46" s="141">
        <f t="shared" si="25"/>
        <v>1.8018018018018018E-2</v>
      </c>
      <c r="G46" s="141">
        <f t="shared" si="25"/>
        <v>1.2987012987012988E-2</v>
      </c>
      <c r="H46" s="141">
        <f t="shared" si="25"/>
        <v>8.23045267489712E-3</v>
      </c>
      <c r="I46" s="141">
        <f t="shared" si="25"/>
        <v>2.8328611898016999E-3</v>
      </c>
      <c r="J46" s="141">
        <f t="shared" si="25"/>
        <v>2.3148148148148147E-3</v>
      </c>
      <c r="K46" s="141">
        <f t="shared" si="25"/>
        <v>3.7383177570093459E-3</v>
      </c>
      <c r="L46" s="141">
        <f t="shared" si="25"/>
        <v>4.7058823529411761E-3</v>
      </c>
      <c r="M46" s="141">
        <f t="shared" si="25"/>
        <v>4.5454545454545452E-3</v>
      </c>
      <c r="N46" s="141">
        <f t="shared" si="25"/>
        <v>8.5836909871244635E-3</v>
      </c>
      <c r="O46" s="141">
        <f t="shared" si="25"/>
        <v>6.8965517241379309E-2</v>
      </c>
      <c r="P46" s="124"/>
      <c r="Q46" s="141">
        <f>IF((+Q$7+Q$8)=0," ",Q47/(+Q$7+Q$8))</f>
        <v>6.3728093467870419E-3</v>
      </c>
      <c r="R46" s="243" t="s">
        <v>11</v>
      </c>
      <c r="S46" s="133">
        <v>1.3810097982005826E-2</v>
      </c>
      <c r="T46" s="124"/>
      <c r="U46" s="134"/>
      <c r="V46" s="143"/>
    </row>
    <row r="47" spans="1:25" s="127" customFormat="1" ht="27" customHeight="1">
      <c r="A47" s="453" t="s">
        <v>165</v>
      </c>
      <c r="B47" s="124"/>
      <c r="C47" s="124"/>
      <c r="D47" s="145">
        <v>200</v>
      </c>
      <c r="E47" s="145">
        <f>D47</f>
        <v>200</v>
      </c>
      <c r="F47" s="145">
        <f t="shared" ref="F47:O47" si="26">E47</f>
        <v>200</v>
      </c>
      <c r="G47" s="145">
        <f t="shared" si="26"/>
        <v>200</v>
      </c>
      <c r="H47" s="145">
        <f t="shared" si="26"/>
        <v>200</v>
      </c>
      <c r="I47" s="145">
        <f t="shared" si="26"/>
        <v>200</v>
      </c>
      <c r="J47" s="145">
        <f t="shared" si="26"/>
        <v>200</v>
      </c>
      <c r="K47" s="145">
        <f t="shared" si="26"/>
        <v>200</v>
      </c>
      <c r="L47" s="145">
        <f t="shared" si="26"/>
        <v>200</v>
      </c>
      <c r="M47" s="145">
        <f t="shared" si="26"/>
        <v>200</v>
      </c>
      <c r="N47" s="145">
        <f t="shared" si="26"/>
        <v>200</v>
      </c>
      <c r="O47" s="145">
        <f t="shared" si="26"/>
        <v>200</v>
      </c>
      <c r="P47" s="48"/>
      <c r="Q47" s="139">
        <f t="shared" ref="Q47" si="27">SUM(D47:O47)</f>
        <v>2400</v>
      </c>
      <c r="R47" s="243"/>
      <c r="S47" s="53">
        <v>2160</v>
      </c>
      <c r="T47" s="124"/>
      <c r="U47" s="134"/>
      <c r="V47" s="143"/>
    </row>
    <row r="48" spans="1:25" s="127" customFormat="1" ht="27" customHeight="1">
      <c r="A48" s="124"/>
      <c r="B48" s="124"/>
      <c r="C48" s="124"/>
      <c r="D48" s="141" t="str">
        <f>IF((+D$7+D$8)=0," ",D49/(+D$7+D$8))</f>
        <v xml:space="preserve"> </v>
      </c>
      <c r="E48" s="498">
        <f t="shared" ref="E48:F48" si="28">IF((+E$7+E$8)=0," ",E49/(+E$7+E$8))</f>
        <v>0</v>
      </c>
      <c r="F48" s="498">
        <f t="shared" si="28"/>
        <v>0</v>
      </c>
      <c r="G48" s="141">
        <f t="shared" si="25"/>
        <v>3.246753246753247E-3</v>
      </c>
      <c r="H48" s="141">
        <f t="shared" si="25"/>
        <v>2.05761316872428E-3</v>
      </c>
      <c r="I48" s="141">
        <f t="shared" si="25"/>
        <v>1.4164305949008499E-3</v>
      </c>
      <c r="J48" s="141">
        <f t="shared" si="25"/>
        <v>1.1574074074074073E-3</v>
      </c>
      <c r="K48" s="141">
        <f t="shared" si="25"/>
        <v>1.869158878504673E-3</v>
      </c>
      <c r="L48" s="141">
        <f t="shared" si="25"/>
        <v>1.176470588235294E-3</v>
      </c>
      <c r="M48" s="141">
        <f t="shared" si="25"/>
        <v>1.1363636363636363E-3</v>
      </c>
      <c r="N48" s="498">
        <f t="shared" si="25"/>
        <v>0</v>
      </c>
      <c r="O48" s="498">
        <f t="shared" si="25"/>
        <v>0</v>
      </c>
      <c r="P48" s="124"/>
      <c r="Q48" s="141">
        <f>IF((+Q$7+Q$8)=0," ",Q49/(+Q$7+Q$8))</f>
        <v>1.3276686139139671E-3</v>
      </c>
      <c r="R48" s="243" t="s">
        <v>11</v>
      </c>
      <c r="S48" s="133">
        <v>1.0980178737193152E-2</v>
      </c>
      <c r="T48" s="124"/>
      <c r="U48" s="134"/>
      <c r="V48" s="143"/>
    </row>
    <row r="49" spans="1:22" s="44" customFormat="1" ht="35.1" customHeight="1">
      <c r="A49" s="453" t="s">
        <v>166</v>
      </c>
      <c r="B49" s="45"/>
      <c r="C49" s="45"/>
      <c r="D49" s="497">
        <v>0</v>
      </c>
      <c r="E49" s="497">
        <v>0</v>
      </c>
      <c r="F49" s="497">
        <v>0</v>
      </c>
      <c r="G49" s="145">
        <v>50</v>
      </c>
      <c r="H49" s="145">
        <f>G49</f>
        <v>50</v>
      </c>
      <c r="I49" s="145">
        <v>100</v>
      </c>
      <c r="J49" s="145">
        <v>100</v>
      </c>
      <c r="K49" s="145">
        <v>100</v>
      </c>
      <c r="L49" s="145">
        <f>H49</f>
        <v>50</v>
      </c>
      <c r="M49" s="145">
        <f>G49</f>
        <v>50</v>
      </c>
      <c r="N49" s="497">
        <v>0</v>
      </c>
      <c r="O49" s="497">
        <v>0</v>
      </c>
      <c r="P49" s="48"/>
      <c r="Q49" s="139">
        <f t="shared" si="10"/>
        <v>500</v>
      </c>
      <c r="R49" s="243" t="s">
        <v>11</v>
      </c>
      <c r="S49" s="53">
        <v>1717.3800000000033</v>
      </c>
      <c r="T49" s="51"/>
      <c r="U49" s="85">
        <f>+Q49-S49</f>
        <v>-1217.3800000000033</v>
      </c>
      <c r="V49" s="143"/>
    </row>
    <row r="50" spans="1:22" s="127" customFormat="1" ht="27" customHeight="1">
      <c r="A50" s="45"/>
      <c r="B50" s="45"/>
      <c r="C50" s="45"/>
      <c r="D50" s="155"/>
      <c r="E50" s="155"/>
      <c r="F50" s="155"/>
      <c r="G50" s="155"/>
      <c r="H50" s="155"/>
      <c r="I50" s="155"/>
      <c r="J50" s="155"/>
      <c r="K50" s="48"/>
      <c r="L50" s="48"/>
      <c r="M50" s="48"/>
      <c r="N50" s="48"/>
      <c r="O50" s="48"/>
      <c r="P50" s="48"/>
      <c r="Q50" s="132"/>
      <c r="R50" s="132"/>
      <c r="S50" s="132"/>
      <c r="T50" s="132"/>
      <c r="U50" s="132"/>
      <c r="V50" s="143"/>
    </row>
    <row r="51" spans="1:22" s="44" customFormat="1" ht="35.1" customHeight="1" thickBot="1">
      <c r="A51" s="271"/>
      <c r="B51" s="62" t="s">
        <v>63</v>
      </c>
      <c r="C51" s="62"/>
      <c r="D51" s="293">
        <f>+D49+D47+D45+D43+D41+D39+D37+D35+D33+D31+D29+D27+D25+D23+D21+D19</f>
        <v>16350</v>
      </c>
      <c r="E51" s="293">
        <f t="shared" ref="E51:O51" si="29">+E49+E47+E45+E43+E41+E39+E37+E35+E33+E31+E29+E27+E25+E23+E21+E19</f>
        <v>18740</v>
      </c>
      <c r="F51" s="293">
        <f t="shared" si="29"/>
        <v>21800</v>
      </c>
      <c r="G51" s="293">
        <f t="shared" si="29"/>
        <v>23000</v>
      </c>
      <c r="H51" s="293">
        <f t="shared" si="29"/>
        <v>28770</v>
      </c>
      <c r="I51" s="293">
        <f t="shared" si="29"/>
        <v>56490</v>
      </c>
      <c r="J51" s="293">
        <f t="shared" si="29"/>
        <v>66680</v>
      </c>
      <c r="K51" s="293">
        <f t="shared" si="29"/>
        <v>40940</v>
      </c>
      <c r="L51" s="293">
        <f t="shared" si="29"/>
        <v>35270</v>
      </c>
      <c r="M51" s="293">
        <f t="shared" si="29"/>
        <v>35550</v>
      </c>
      <c r="N51" s="293">
        <f t="shared" si="29"/>
        <v>27710</v>
      </c>
      <c r="O51" s="293">
        <f t="shared" si="29"/>
        <v>18000</v>
      </c>
      <c r="P51" s="293" t="s">
        <v>11</v>
      </c>
      <c r="Q51" s="295">
        <f>+Q49+Q47+Q45+Q43+Q41+Q39+Q37+Q35+Q33+Q31+Q29+Q27+Q25+Q23+Q21+Q19</f>
        <v>389300</v>
      </c>
      <c r="R51" s="243" t="s">
        <v>11</v>
      </c>
      <c r="S51" s="167">
        <f>+S49+S47+S45+S41+S43+S39+S37+S35+S33+S31+S29+S27+S25+S23+S21+S19-2</f>
        <v>377794.63</v>
      </c>
      <c r="T51" s="124"/>
      <c r="U51" s="134"/>
      <c r="V51" s="143"/>
    </row>
    <row r="52" spans="1:22" s="51" customFormat="1" ht="27" thickTop="1">
      <c r="A52" s="56"/>
      <c r="B52" s="56"/>
      <c r="C52" s="56"/>
      <c r="D52" s="160">
        <v>0</v>
      </c>
      <c r="E52" s="161">
        <v>0</v>
      </c>
      <c r="F52" s="161">
        <v>0</v>
      </c>
      <c r="G52" s="161">
        <v>0</v>
      </c>
      <c r="H52" s="161">
        <v>0</v>
      </c>
      <c r="I52" s="161">
        <v>0</v>
      </c>
      <c r="J52" s="294">
        <f>SUM($D$51:J51)</f>
        <v>231830</v>
      </c>
      <c r="K52" s="161">
        <v>0</v>
      </c>
      <c r="L52" s="161">
        <v>0</v>
      </c>
      <c r="M52" s="161">
        <v>0</v>
      </c>
      <c r="N52" s="161">
        <v>0</v>
      </c>
      <c r="O52" s="161">
        <v>0</v>
      </c>
      <c r="P52" s="86"/>
      <c r="Q52" s="56"/>
      <c r="R52" s="243" t="s">
        <v>11</v>
      </c>
      <c r="S52" s="56"/>
      <c r="T52" s="124"/>
      <c r="U52" s="134"/>
      <c r="V52" s="143"/>
    </row>
    <row r="53" spans="1:22" s="85" customFormat="1" ht="50.1" customHeight="1" thickBot="1">
      <c r="A53" s="272"/>
      <c r="B53" s="273" t="s">
        <v>65</v>
      </c>
      <c r="C53" s="274"/>
      <c r="D53" s="165">
        <f t="shared" ref="D53:O53" si="30">+D13-D51</f>
        <v>-16350</v>
      </c>
      <c r="E53" s="165">
        <f t="shared" si="30"/>
        <v>-16140</v>
      </c>
      <c r="F53" s="166">
        <f t="shared" si="30"/>
        <v>-10700</v>
      </c>
      <c r="G53" s="166">
        <f t="shared" si="30"/>
        <v>-6900</v>
      </c>
      <c r="H53" s="166">
        <f t="shared" si="30"/>
        <v>-1970</v>
      </c>
      <c r="I53" s="166">
        <f t="shared" si="30"/>
        <v>17110</v>
      </c>
      <c r="J53" s="166">
        <f t="shared" si="30"/>
        <v>22220</v>
      </c>
      <c r="K53" s="166">
        <f t="shared" si="30"/>
        <v>14560</v>
      </c>
      <c r="L53" s="166">
        <f t="shared" si="30"/>
        <v>8230</v>
      </c>
      <c r="M53" s="166">
        <f t="shared" si="30"/>
        <v>9450</v>
      </c>
      <c r="N53" s="166">
        <f t="shared" si="30"/>
        <v>-4410</v>
      </c>
      <c r="O53" s="166">
        <f t="shared" si="30"/>
        <v>-15100</v>
      </c>
      <c r="P53" s="71"/>
      <c r="Q53" s="234">
        <f>+Q13-Q51</f>
        <v>0</v>
      </c>
      <c r="R53" s="243" t="s">
        <v>11</v>
      </c>
      <c r="S53" s="506">
        <f>+S13-S51</f>
        <v>-45164.630000000005</v>
      </c>
      <c r="T53" s="124"/>
      <c r="U53" s="134"/>
      <c r="V53" s="143"/>
    </row>
    <row r="54" spans="1:22" s="15" customFormat="1" ht="27" thickTop="1">
      <c r="A54" s="169"/>
      <c r="B54" s="169"/>
      <c r="C54" s="169"/>
      <c r="D54" s="170"/>
      <c r="E54" s="170"/>
      <c r="F54" s="171"/>
      <c r="G54" s="170"/>
      <c r="H54" s="170"/>
      <c r="I54" s="170"/>
      <c r="J54" s="170"/>
      <c r="K54" s="170"/>
      <c r="L54" s="170"/>
      <c r="M54" s="171"/>
      <c r="N54" s="172"/>
      <c r="O54" s="172"/>
      <c r="P54" s="172"/>
      <c r="Q54" s="172"/>
      <c r="R54" s="172"/>
      <c r="S54" s="162"/>
      <c r="T54" s="124"/>
      <c r="U54" s="134"/>
      <c r="V54" s="143"/>
    </row>
    <row r="55" spans="1:22" s="85" customFormat="1" ht="49.5" customHeight="1" thickBot="1">
      <c r="A55" s="275"/>
      <c r="B55" s="276" t="s">
        <v>66</v>
      </c>
      <c r="C55" s="277"/>
      <c r="D55" s="171"/>
      <c r="E55" s="175">
        <f>+D53+E53</f>
        <v>-32490</v>
      </c>
      <c r="F55" s="175">
        <f>+E55+F53</f>
        <v>-43190</v>
      </c>
      <c r="G55" s="175">
        <f t="shared" ref="G55:N55" si="31">+F55+G53</f>
        <v>-50090</v>
      </c>
      <c r="H55" s="175">
        <f t="shared" si="31"/>
        <v>-52060</v>
      </c>
      <c r="I55" s="175">
        <f t="shared" si="31"/>
        <v>-34950</v>
      </c>
      <c r="J55" s="175">
        <f t="shared" si="31"/>
        <v>-12730</v>
      </c>
      <c r="K55" s="175">
        <f t="shared" si="31"/>
        <v>1830</v>
      </c>
      <c r="L55" s="175">
        <f t="shared" si="31"/>
        <v>10060</v>
      </c>
      <c r="M55" s="175">
        <f t="shared" si="31"/>
        <v>19510</v>
      </c>
      <c r="N55" s="175">
        <f t="shared" si="31"/>
        <v>15100</v>
      </c>
      <c r="O55" s="234">
        <f>+N55+O53</f>
        <v>0</v>
      </c>
      <c r="P55" s="176"/>
      <c r="Q55" s="177"/>
      <c r="R55" s="177"/>
      <c r="S55" s="177"/>
      <c r="T55" s="177"/>
      <c r="U55" s="134"/>
      <c r="V55" s="143"/>
    </row>
    <row r="56" spans="1:22" s="85" customFormat="1" ht="49.5" customHeight="1" thickTop="1">
      <c r="A56" s="171"/>
      <c r="B56" s="171"/>
      <c r="C56" s="171"/>
      <c r="D56" s="171"/>
      <c r="E56" s="175"/>
      <c r="F56" s="175"/>
      <c r="G56" s="175"/>
      <c r="H56" s="175"/>
      <c r="I56" s="175"/>
      <c r="J56" s="175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34"/>
      <c r="V56" s="143"/>
    </row>
    <row r="57" spans="1:22" s="15" customFormat="1" ht="24.75" customHeight="1">
      <c r="A57" s="173"/>
      <c r="B57" s="173"/>
      <c r="C57" s="173"/>
      <c r="D57" s="173"/>
      <c r="E57" s="173"/>
      <c r="F57" s="173"/>
      <c r="G57" s="173"/>
      <c r="H57" s="173"/>
      <c r="I57" s="173"/>
      <c r="J57" s="173"/>
      <c r="K57" s="175"/>
      <c r="L57" s="175"/>
      <c r="M57" s="175"/>
      <c r="N57" s="173"/>
      <c r="O57" s="173"/>
      <c r="P57" s="173"/>
      <c r="Q57" s="173"/>
      <c r="R57" s="132"/>
      <c r="S57" s="173"/>
      <c r="T57" s="173"/>
      <c r="U57" s="51"/>
      <c r="V57" s="143"/>
    </row>
    <row r="58" spans="1:22" s="15" customFormat="1" ht="27" customHeight="1">
      <c r="A58" s="173"/>
      <c r="E58" s="175"/>
      <c r="F58" s="175"/>
      <c r="G58" s="175"/>
      <c r="H58" s="175"/>
      <c r="I58" s="175"/>
      <c r="J58" s="175"/>
      <c r="K58" s="175"/>
      <c r="L58" s="175"/>
      <c r="M58" s="175"/>
      <c r="N58" s="173"/>
      <c r="O58" s="173"/>
      <c r="P58" s="173"/>
      <c r="Q58" s="173"/>
      <c r="R58" s="132"/>
      <c r="S58" s="51"/>
      <c r="T58" s="51"/>
      <c r="U58" s="51"/>
    </row>
    <row r="59" spans="1:22" s="15" customFormat="1" ht="27" customHeight="1">
      <c r="A59" s="173"/>
      <c r="E59" s="175"/>
      <c r="F59" s="175"/>
      <c r="G59" s="175"/>
      <c r="H59" s="175"/>
      <c r="I59" s="175"/>
      <c r="J59" s="175"/>
      <c r="K59" s="175"/>
      <c r="L59" s="175"/>
      <c r="M59" s="175"/>
      <c r="N59" s="173"/>
      <c r="O59" s="173"/>
      <c r="P59" s="11"/>
      <c r="Q59" s="173"/>
      <c r="R59" s="132"/>
      <c r="S59" s="51"/>
      <c r="T59" s="51"/>
      <c r="U59" s="51"/>
    </row>
    <row r="60" spans="1:22" s="15" customFormat="1">
      <c r="A60" s="173"/>
      <c r="G60" s="175"/>
      <c r="H60" s="175"/>
      <c r="I60" s="175"/>
      <c r="J60" s="175"/>
      <c r="K60" s="175"/>
      <c r="L60" s="175"/>
      <c r="M60" s="175"/>
      <c r="N60" s="173"/>
      <c r="O60" s="173"/>
      <c r="P60" s="11"/>
      <c r="Q60" s="173"/>
      <c r="R60" s="132"/>
      <c r="S60" s="51"/>
      <c r="T60" s="51"/>
      <c r="U60" s="51"/>
    </row>
    <row r="61" spans="1:22" s="15" customFormat="1">
      <c r="A61" s="173"/>
      <c r="B61" s="173"/>
      <c r="C61" s="173"/>
      <c r="D61" s="171"/>
      <c r="E61" s="171"/>
      <c r="F61" s="171"/>
      <c r="G61" s="175"/>
      <c r="H61" s="175"/>
      <c r="I61" s="175"/>
      <c r="J61" s="175"/>
      <c r="K61" s="175"/>
      <c r="L61" s="175"/>
      <c r="M61" s="175"/>
      <c r="N61" s="173"/>
      <c r="O61" s="173"/>
      <c r="P61" s="11"/>
      <c r="Q61" s="173"/>
      <c r="R61" s="132"/>
      <c r="S61" s="51"/>
      <c r="T61" s="51"/>
      <c r="U61" s="51"/>
    </row>
    <row r="62" spans="1:22" s="15" customFormat="1">
      <c r="A62" s="173"/>
      <c r="B62" s="173"/>
      <c r="C62" s="173"/>
      <c r="D62" s="171"/>
      <c r="E62" s="171"/>
      <c r="F62" s="171"/>
      <c r="G62" s="175"/>
      <c r="H62" s="175"/>
      <c r="I62" s="175"/>
      <c r="J62" s="175"/>
      <c r="K62" s="175"/>
      <c r="L62" s="175"/>
      <c r="M62" s="175"/>
      <c r="N62" s="173"/>
      <c r="O62" s="173"/>
      <c r="P62" s="11"/>
      <c r="Q62" s="173"/>
      <c r="R62" s="132"/>
      <c r="S62" s="51"/>
      <c r="T62" s="51"/>
      <c r="U62" s="51"/>
    </row>
    <row r="63" spans="1:22" s="15" customFormat="1">
      <c r="A63" s="173"/>
      <c r="B63" s="173"/>
      <c r="C63" s="173"/>
      <c r="D63" s="171"/>
      <c r="E63" s="171"/>
      <c r="F63" s="171"/>
      <c r="G63" s="175"/>
      <c r="H63" s="175"/>
      <c r="I63" s="175"/>
      <c r="J63" s="175"/>
      <c r="K63" s="175"/>
      <c r="L63" s="175"/>
      <c r="M63" s="175"/>
      <c r="N63" s="173"/>
      <c r="O63" s="173"/>
      <c r="P63" s="11"/>
      <c r="Q63" s="173"/>
      <c r="R63" s="132"/>
      <c r="S63" s="51"/>
      <c r="T63" s="51"/>
      <c r="U63" s="51"/>
    </row>
    <row r="64" spans="1:22" s="15" customFormat="1">
      <c r="A64" s="173"/>
      <c r="B64" s="173"/>
      <c r="C64" s="173"/>
      <c r="D64" s="171"/>
      <c r="E64" s="171"/>
      <c r="F64" s="171"/>
      <c r="G64" s="175"/>
      <c r="H64" s="175"/>
      <c r="I64" s="175"/>
      <c r="J64" s="175"/>
      <c r="K64" s="175"/>
      <c r="L64" s="175"/>
      <c r="M64" s="175"/>
      <c r="N64" s="173"/>
      <c r="O64" s="173"/>
      <c r="P64" s="11"/>
      <c r="Q64" s="173"/>
      <c r="R64" s="132"/>
      <c r="S64" s="51"/>
      <c r="T64" s="51"/>
      <c r="U64" s="51"/>
    </row>
    <row r="65" spans="1:21" s="15" customFormat="1" ht="28.5" customHeight="1">
      <c r="A65" s="173"/>
      <c r="B65" s="173"/>
      <c r="C65" s="173"/>
      <c r="D65" s="171"/>
      <c r="E65" s="171"/>
      <c r="F65" s="171"/>
      <c r="G65" s="175"/>
      <c r="H65" s="175"/>
      <c r="I65" s="175"/>
      <c r="J65" s="175"/>
      <c r="K65" s="175"/>
      <c r="L65" s="175"/>
      <c r="M65" s="175"/>
      <c r="N65" s="173"/>
      <c r="O65" s="173"/>
      <c r="P65" s="173"/>
      <c r="Q65" s="173"/>
      <c r="R65" s="132"/>
      <c r="S65" s="51"/>
      <c r="T65" s="51"/>
      <c r="U65" s="51"/>
    </row>
    <row r="66" spans="1:21" s="15" customFormat="1" ht="28.5" customHeight="1">
      <c r="A66" s="173"/>
      <c r="B66" s="173"/>
      <c r="C66" s="173"/>
      <c r="D66" s="171"/>
      <c r="E66" s="171"/>
      <c r="F66" s="171"/>
      <c r="G66" s="175"/>
      <c r="H66" s="175"/>
      <c r="I66" s="175"/>
      <c r="J66" s="175"/>
      <c r="K66" s="175"/>
      <c r="L66" s="175"/>
      <c r="M66" s="175"/>
      <c r="N66" s="173"/>
      <c r="O66" s="173"/>
      <c r="P66" s="173"/>
      <c r="Q66" s="173"/>
      <c r="R66" s="132"/>
      <c r="S66" s="51"/>
      <c r="T66" s="51"/>
      <c r="U66" s="51"/>
    </row>
    <row r="67" spans="1:21" s="15" customFormat="1" ht="28.5" customHeight="1">
      <c r="A67" s="182"/>
      <c r="B67" s="182"/>
      <c r="C67" s="182"/>
      <c r="D67" s="171"/>
      <c r="E67" s="171"/>
      <c r="F67" s="171"/>
      <c r="G67" s="175"/>
      <c r="H67" s="175"/>
      <c r="I67" s="175"/>
      <c r="J67" s="175"/>
      <c r="K67" s="175"/>
      <c r="L67" s="175"/>
      <c r="M67" s="175"/>
      <c r="N67" s="173"/>
      <c r="O67" s="173"/>
      <c r="P67" s="173"/>
      <c r="Q67" s="173"/>
      <c r="R67" s="132"/>
      <c r="S67" s="51"/>
      <c r="T67" s="51"/>
      <c r="U67" s="51"/>
    </row>
    <row r="68" spans="1:21" s="15" customFormat="1" ht="21" customHeight="1">
      <c r="A68" s="768" t="s">
        <v>11</v>
      </c>
      <c r="B68" s="768"/>
      <c r="C68" s="460"/>
      <c r="D68" s="171"/>
      <c r="E68" s="171"/>
      <c r="F68" s="171"/>
      <c r="G68" s="175"/>
      <c r="H68" s="175"/>
      <c r="I68" s="175"/>
      <c r="J68" s="175"/>
      <c r="K68" s="175"/>
      <c r="L68" s="175"/>
      <c r="M68" s="175"/>
      <c r="N68" s="173"/>
      <c r="O68" s="173"/>
      <c r="P68" s="173"/>
      <c r="Q68" s="173"/>
      <c r="R68" s="132"/>
      <c r="S68" s="51"/>
      <c r="T68" s="51"/>
      <c r="U68" s="51"/>
    </row>
    <row r="69" spans="1:21" s="15" customFormat="1" ht="21" customHeight="1">
      <c r="A69" s="176"/>
      <c r="B69" s="176"/>
      <c r="C69" s="176"/>
      <c r="D69" s="171"/>
      <c r="E69" s="171"/>
      <c r="F69" s="171"/>
      <c r="G69" s="175"/>
      <c r="H69" s="175"/>
      <c r="I69" s="175"/>
      <c r="J69" s="175"/>
      <c r="K69" s="175"/>
      <c r="L69" s="175"/>
      <c r="M69" s="175"/>
      <c r="N69" s="171"/>
      <c r="O69" s="171"/>
      <c r="P69" s="171"/>
      <c r="Q69" s="171"/>
      <c r="R69" s="132"/>
      <c r="S69" s="51"/>
      <c r="T69" s="51"/>
      <c r="U69" s="51"/>
    </row>
    <row r="70" spans="1:21" s="15" customFormat="1" ht="21" customHeight="1">
      <c r="A70" s="176"/>
      <c r="B70" s="176"/>
      <c r="C70" s="176"/>
      <c r="D70" s="171"/>
      <c r="E70" s="171"/>
      <c r="F70" s="171"/>
      <c r="G70" s="175"/>
      <c r="H70" s="175"/>
      <c r="I70" s="175"/>
      <c r="J70" s="175"/>
      <c r="K70" s="175"/>
      <c r="L70" s="175"/>
      <c r="M70" s="175"/>
      <c r="N70" s="171"/>
      <c r="O70" s="171"/>
      <c r="P70" s="171"/>
      <c r="Q70" s="171"/>
      <c r="R70" s="132"/>
      <c r="S70" s="51"/>
      <c r="T70" s="51"/>
      <c r="U70" s="51"/>
    </row>
    <row r="71" spans="1:21" s="15" customFormat="1" ht="27" customHeight="1">
      <c r="A71" s="176"/>
      <c r="B71" s="176"/>
      <c r="C71" s="176"/>
      <c r="D71" s="171"/>
      <c r="E71" s="171"/>
      <c r="F71" s="171"/>
      <c r="G71" s="175"/>
      <c r="H71" s="175"/>
      <c r="I71" s="175"/>
      <c r="J71" s="175"/>
      <c r="K71" s="175"/>
      <c r="L71" s="175"/>
      <c r="M71" s="175"/>
      <c r="N71" s="171"/>
      <c r="O71" s="171"/>
      <c r="P71" s="171"/>
      <c r="Q71" s="171"/>
      <c r="R71" s="171"/>
      <c r="S71" s="51"/>
      <c r="T71" s="51"/>
      <c r="U71" s="51"/>
    </row>
    <row r="72" spans="1:21" s="15" customFormat="1" ht="21" customHeight="1">
      <c r="A72" s="176"/>
      <c r="B72" s="176"/>
      <c r="C72" s="176"/>
      <c r="D72" s="171"/>
      <c r="E72" s="171"/>
      <c r="F72" s="171"/>
      <c r="G72" s="175"/>
      <c r="H72" s="175"/>
      <c r="I72" s="175"/>
      <c r="J72" s="175"/>
      <c r="K72" s="175"/>
      <c r="L72" s="175"/>
      <c r="M72" s="175"/>
      <c r="N72" s="171"/>
      <c r="O72" s="171"/>
      <c r="P72" s="171"/>
      <c r="Q72" s="171"/>
      <c r="R72" s="171"/>
      <c r="S72" s="51"/>
      <c r="T72" s="51"/>
      <c r="U72" s="51"/>
    </row>
    <row r="73" spans="1:21" s="15" customFormat="1" ht="21" customHeight="1">
      <c r="A73" s="176"/>
      <c r="B73" s="176"/>
      <c r="C73" s="176"/>
      <c r="D73" s="171"/>
      <c r="E73" s="171"/>
      <c r="F73" s="171"/>
      <c r="G73" s="175"/>
      <c r="H73" s="175"/>
      <c r="I73" s="175"/>
      <c r="J73" s="175"/>
      <c r="K73" s="175"/>
      <c r="L73" s="175"/>
      <c r="M73" s="175"/>
      <c r="N73" s="171"/>
      <c r="O73" s="171"/>
      <c r="P73" s="171"/>
      <c r="Q73" s="171"/>
      <c r="R73" s="171"/>
      <c r="S73" s="51"/>
      <c r="T73" s="51"/>
      <c r="U73" s="51"/>
    </row>
    <row r="74" spans="1:21" s="15" customFormat="1" ht="21" customHeight="1">
      <c r="A74" s="176"/>
      <c r="B74" s="176"/>
      <c r="C74" s="176"/>
      <c r="D74" s="171"/>
      <c r="E74" s="171"/>
      <c r="F74" s="171"/>
      <c r="G74" s="175"/>
      <c r="H74" s="175"/>
      <c r="I74" s="175"/>
      <c r="J74" s="175"/>
      <c r="K74" s="175"/>
      <c r="L74" s="175"/>
      <c r="M74" s="175"/>
      <c r="N74" s="171"/>
      <c r="O74" s="171"/>
      <c r="P74" s="171"/>
      <c r="Q74" s="171"/>
      <c r="R74" s="171"/>
      <c r="S74" s="51"/>
      <c r="T74" s="51"/>
      <c r="U74" s="51"/>
    </row>
    <row r="75" spans="1:21" s="15" customFormat="1" ht="21" customHeight="1">
      <c r="A75" s="176"/>
      <c r="B75" s="176"/>
      <c r="C75" s="176"/>
      <c r="D75" s="171"/>
      <c r="E75" s="171"/>
      <c r="F75" s="171"/>
      <c r="G75" s="175"/>
      <c r="H75" s="175"/>
      <c r="I75" s="175"/>
      <c r="J75" s="175"/>
      <c r="K75" s="175"/>
      <c r="L75" s="175"/>
      <c r="M75" s="175"/>
      <c r="N75" s="171"/>
      <c r="O75" s="171"/>
      <c r="P75" s="171"/>
      <c r="Q75" s="171"/>
      <c r="R75" s="171"/>
      <c r="S75" s="51"/>
      <c r="T75" s="51"/>
      <c r="U75" s="51"/>
    </row>
    <row r="76" spans="1:21" ht="21" customHeight="1">
      <c r="A76" s="15"/>
      <c r="B76" s="15"/>
      <c r="C76" s="15"/>
      <c r="D76" s="171"/>
      <c r="E76" s="171"/>
      <c r="F76" s="171"/>
      <c r="G76" s="175"/>
      <c r="H76" s="175"/>
      <c r="I76" s="175"/>
      <c r="J76" s="175"/>
      <c r="K76" s="175"/>
      <c r="L76" s="175"/>
      <c r="M76" s="175"/>
      <c r="N76" s="171"/>
      <c r="O76" s="171"/>
      <c r="P76" s="171"/>
      <c r="Q76" s="171"/>
      <c r="R76" s="171"/>
    </row>
    <row r="77" spans="1:21" ht="21" customHeight="1">
      <c r="A77" s="15"/>
      <c r="B77" s="15"/>
      <c r="C77" s="15"/>
      <c r="D77" s="171"/>
      <c r="E77" s="171"/>
      <c r="F77" s="171"/>
      <c r="G77" s="175"/>
      <c r="H77" s="175"/>
      <c r="I77" s="175"/>
      <c r="J77" s="175"/>
      <c r="K77" s="175"/>
      <c r="L77" s="175"/>
      <c r="M77" s="175"/>
      <c r="N77" s="171"/>
      <c r="O77" s="171"/>
      <c r="P77" s="171"/>
      <c r="Q77" s="171"/>
      <c r="R77" s="171"/>
    </row>
    <row r="78" spans="1:21" ht="21" customHeight="1">
      <c r="A78" s="15"/>
      <c r="B78" s="15"/>
      <c r="C78" s="15"/>
      <c r="G78" s="175"/>
      <c r="H78" s="175"/>
      <c r="I78" s="175"/>
      <c r="J78" s="175"/>
      <c r="K78" s="175"/>
      <c r="L78" s="175"/>
      <c r="M78" s="175"/>
    </row>
    <row r="79" spans="1:21" ht="15.75" customHeight="1">
      <c r="A79" s="15"/>
      <c r="B79" s="15"/>
      <c r="C79" s="15"/>
      <c r="G79" s="175"/>
      <c r="H79" s="175"/>
      <c r="I79" s="175"/>
      <c r="J79" s="175"/>
      <c r="K79" s="175"/>
      <c r="L79" s="175"/>
      <c r="M79" s="175"/>
    </row>
    <row r="80" spans="1:21">
      <c r="A80" s="15"/>
      <c r="B80" s="15"/>
      <c r="C80" s="15"/>
      <c r="G80" s="175"/>
      <c r="H80" s="175"/>
      <c r="I80" s="175"/>
      <c r="J80" s="175"/>
      <c r="K80" s="175"/>
      <c r="L80" s="175"/>
      <c r="M80" s="175"/>
    </row>
    <row r="81" spans="1:13">
      <c r="A81" s="15"/>
      <c r="B81" s="15"/>
      <c r="C81" s="15"/>
      <c r="G81" s="175"/>
      <c r="H81" s="175"/>
      <c r="I81" s="175"/>
      <c r="J81" s="175"/>
      <c r="K81" s="175"/>
      <c r="L81" s="175"/>
      <c r="M81" s="175"/>
    </row>
    <row r="82" spans="1:13">
      <c r="A82" s="15"/>
      <c r="B82" s="15"/>
      <c r="C82" s="15"/>
      <c r="G82" s="175"/>
      <c r="H82" s="175"/>
      <c r="I82" s="175"/>
      <c r="J82" s="175"/>
      <c r="K82" s="175"/>
      <c r="L82" s="175"/>
      <c r="M82" s="175"/>
    </row>
    <row r="83" spans="1:13">
      <c r="A83" s="15"/>
      <c r="B83" s="15"/>
      <c r="C83" s="15"/>
      <c r="G83" s="175"/>
      <c r="H83" s="175"/>
      <c r="I83" s="175"/>
      <c r="J83" s="175"/>
      <c r="K83" s="175"/>
      <c r="L83" s="175"/>
      <c r="M83" s="175"/>
    </row>
    <row r="84" spans="1:13">
      <c r="A84" s="15"/>
      <c r="B84" s="15"/>
      <c r="C84" s="15"/>
      <c r="G84" s="175"/>
      <c r="H84" s="175"/>
      <c r="I84" s="175"/>
      <c r="J84" s="175"/>
      <c r="K84" s="175"/>
      <c r="L84" s="175"/>
      <c r="M84" s="175"/>
    </row>
    <row r="85" spans="1:13">
      <c r="A85" s="15"/>
      <c r="B85" s="15"/>
      <c r="C85" s="15"/>
      <c r="G85" s="175"/>
      <c r="H85" s="175"/>
      <c r="I85" s="175"/>
      <c r="J85" s="175"/>
      <c r="K85" s="175"/>
      <c r="L85" s="175"/>
      <c r="M85" s="175"/>
    </row>
    <row r="86" spans="1:13">
      <c r="G86" s="175"/>
      <c r="H86" s="175"/>
      <c r="I86" s="175"/>
      <c r="J86" s="175"/>
      <c r="K86" s="175"/>
      <c r="L86" s="175"/>
      <c r="M86" s="175"/>
    </row>
    <row r="87" spans="1:13">
      <c r="G87" s="175"/>
      <c r="H87" s="175"/>
      <c r="I87" s="175"/>
      <c r="J87" s="175"/>
      <c r="K87" s="175"/>
      <c r="L87" s="175"/>
      <c r="M87" s="175"/>
    </row>
    <row r="88" spans="1:13">
      <c r="G88" s="175"/>
      <c r="H88" s="175"/>
      <c r="I88" s="175"/>
      <c r="J88" s="175"/>
      <c r="K88" s="175"/>
      <c r="L88" s="175"/>
      <c r="M88" s="175"/>
    </row>
    <row r="89" spans="1:13">
      <c r="G89" s="175"/>
      <c r="H89" s="175"/>
      <c r="I89" s="175"/>
      <c r="J89" s="175"/>
      <c r="K89" s="175"/>
      <c r="L89" s="175"/>
      <c r="M89" s="175"/>
    </row>
  </sheetData>
  <mergeCells count="7">
    <mergeCell ref="A68:B68"/>
    <mergeCell ref="D2:Q2"/>
    <mergeCell ref="Q4:Q5"/>
    <mergeCell ref="A2:B2"/>
    <mergeCell ref="D1:Q1"/>
    <mergeCell ref="D3:Q3"/>
    <mergeCell ref="A3:C3"/>
  </mergeCells>
  <printOptions horizontalCentered="1"/>
  <pageMargins left="0.25" right="0.25" top="0.75" bottom="0.25" header="0.25" footer="0.1"/>
  <pageSetup scale="33" orientation="landscape" horizontalDpi="300" verticalDpi="300" r:id="rId1"/>
  <headerFooter alignWithMargins="0">
    <oddFooter>&amp;R&amp;"Arial,Regular"&amp;10Date: &amp;D</oddFooter>
  </headerFooter>
  <rowBreaks count="1" manualBreakCount="1">
    <brk id="53" max="16" man="1"/>
  </rowBreaks>
  <colBreaks count="1" manualBreakCount="1">
    <brk id="9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9" transitionEvaluation="1">
    <tabColor rgb="FFFF0000"/>
    <pageSetUpPr fitToPage="1"/>
  </sheetPr>
  <dimension ref="A1:Z88"/>
  <sheetViews>
    <sheetView zoomScale="46" zoomScaleNormal="46" workbookViewId="0">
      <pane ySplit="6" topLeftCell="A19" activePane="bottomLeft" state="frozen"/>
      <selection pane="bottomLeft" activeCell="Q27" sqref="Q27"/>
    </sheetView>
  </sheetViews>
  <sheetFormatPr defaultColWidth="7.77734375" defaultRowHeight="26.25"/>
  <cols>
    <col min="1" max="1" width="11.44140625" style="22" customWidth="1"/>
    <col min="2" max="2" width="42.21875" style="22" customWidth="1"/>
    <col min="3" max="3" width="16.77734375" style="22" customWidth="1"/>
    <col min="4" max="15" width="18.21875" style="22" customWidth="1"/>
    <col min="16" max="16" width="4" style="15" customWidth="1"/>
    <col min="17" max="17" width="19.21875" style="22" customWidth="1"/>
    <col min="18" max="18" width="30.77734375" style="22" customWidth="1"/>
    <col min="19" max="19" width="23.77734375" style="44" hidden="1" customWidth="1"/>
    <col min="20" max="20" width="1.77734375" style="44" customWidth="1"/>
    <col min="21" max="21" width="20.44140625" style="44" hidden="1" customWidth="1"/>
    <col min="22" max="22" width="1.88671875" style="22" customWidth="1"/>
    <col min="23" max="23" width="19.6640625" style="22" hidden="1" customWidth="1"/>
    <col min="24" max="24" width="2.33203125" style="22" customWidth="1"/>
    <col min="25" max="25" width="7.77734375" style="22" customWidth="1"/>
    <col min="26" max="26" width="11" style="22" bestFit="1" customWidth="1"/>
    <col min="27" max="16384" width="7.77734375" style="22"/>
  </cols>
  <sheetData>
    <row r="1" spans="1:23" s="5" customFormat="1" ht="50.45" customHeight="1">
      <c r="A1" s="211" t="s">
        <v>0</v>
      </c>
      <c r="B1" s="212"/>
      <c r="C1" s="2"/>
      <c r="D1" s="777" t="s">
        <v>113</v>
      </c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3"/>
      <c r="S1" s="3"/>
      <c r="T1" s="4"/>
      <c r="U1" s="4"/>
    </row>
    <row r="2" spans="1:23" s="5" customFormat="1" ht="44.45" customHeight="1" thickBot="1">
      <c r="A2" s="213" t="s">
        <v>11</v>
      </c>
      <c r="B2" s="287" t="s">
        <v>6</v>
      </c>
      <c r="C2" s="215" t="s">
        <v>11</v>
      </c>
      <c r="D2" s="745" t="s">
        <v>151</v>
      </c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746"/>
      <c r="R2" s="8"/>
      <c r="S2" s="8"/>
      <c r="T2" s="4"/>
      <c r="U2" s="4"/>
    </row>
    <row r="3" spans="1:23" s="5" customFormat="1" ht="32.25" customHeight="1" thickBot="1">
      <c r="A3" s="216" t="s">
        <v>78</v>
      </c>
      <c r="B3" s="217"/>
      <c r="C3" s="218"/>
      <c r="D3" s="11"/>
      <c r="E3" s="219" t="s">
        <v>5</v>
      </c>
      <c r="F3" s="13" t="s">
        <v>6</v>
      </c>
      <c r="G3" s="14" t="s">
        <v>7</v>
      </c>
      <c r="H3"/>
      <c r="I3" s="778" t="s">
        <v>145</v>
      </c>
      <c r="J3" s="778"/>
      <c r="K3" s="778"/>
      <c r="L3" s="431" t="s">
        <v>11</v>
      </c>
      <c r="M3"/>
      <c r="N3" s="17"/>
      <c r="O3" s="11"/>
      <c r="P3" s="11"/>
      <c r="Q3" s="18"/>
      <c r="R3" s="8"/>
      <c r="S3" s="424" t="s">
        <v>10</v>
      </c>
      <c r="T3" s="220"/>
      <c r="U3" s="220"/>
      <c r="V3" s="220"/>
      <c r="W3" s="417" t="s">
        <v>140</v>
      </c>
    </row>
    <row r="4" spans="1:23" s="5" customFormat="1" ht="27.75" customHeight="1">
      <c r="A4" s="426" t="s">
        <v>143</v>
      </c>
      <c r="B4" s="279">
        <v>44118</v>
      </c>
      <c r="C4" s="280" t="s">
        <v>112</v>
      </c>
      <c r="D4" s="11"/>
      <c r="E4" s="11"/>
      <c r="F4" s="22"/>
      <c r="G4" s="22"/>
      <c r="H4" s="779" t="s">
        <v>142</v>
      </c>
      <c r="I4" s="780"/>
      <c r="J4" s="780"/>
      <c r="K4" s="780"/>
      <c r="L4" s="780"/>
      <c r="M4" s="780"/>
      <c r="N4" s="428"/>
      <c r="O4" s="236"/>
      <c r="P4" s="11"/>
      <c r="Q4" s="429">
        <v>2021</v>
      </c>
      <c r="R4" s="8"/>
      <c r="S4" s="221" t="s">
        <v>141</v>
      </c>
      <c r="T4" s="220"/>
      <c r="U4" s="220"/>
      <c r="V4" s="220"/>
      <c r="W4" s="419">
        <v>2018</v>
      </c>
    </row>
    <row r="5" spans="1:23" ht="30.75" customHeight="1" thickBot="1">
      <c r="A5" s="15"/>
      <c r="B5" s="223" t="s">
        <v>11</v>
      </c>
      <c r="C5" s="223"/>
      <c r="D5" s="439" t="s">
        <v>146</v>
      </c>
      <c r="E5" s="439" t="s">
        <v>146</v>
      </c>
      <c r="F5" s="439" t="s">
        <v>146</v>
      </c>
      <c r="G5" s="439" t="s">
        <v>146</v>
      </c>
      <c r="H5" s="439" t="s">
        <v>146</v>
      </c>
      <c r="I5" s="439" t="s">
        <v>146</v>
      </c>
      <c r="J5" s="439" t="s">
        <v>146</v>
      </c>
      <c r="K5" s="439" t="s">
        <v>146</v>
      </c>
      <c r="L5" s="439" t="s">
        <v>146</v>
      </c>
      <c r="M5" s="439" t="s">
        <v>146</v>
      </c>
      <c r="N5" s="439" t="s">
        <v>146</v>
      </c>
      <c r="O5" s="439" t="s">
        <v>146</v>
      </c>
      <c r="P5" s="237"/>
      <c r="Q5" s="430" t="s">
        <v>6</v>
      </c>
      <c r="R5" s="225"/>
      <c r="S5" s="224" t="s">
        <v>81</v>
      </c>
      <c r="T5" s="225"/>
      <c r="U5" s="225"/>
      <c r="V5" s="225"/>
      <c r="W5" s="226" t="s">
        <v>14</v>
      </c>
    </row>
    <row r="6" spans="1:23" s="5" customFormat="1" ht="52.5">
      <c r="A6" s="34" t="s">
        <v>15</v>
      </c>
      <c r="B6" s="34"/>
      <c r="C6" s="34"/>
      <c r="D6" s="288" t="s">
        <v>82</v>
      </c>
      <c r="E6" s="288" t="s">
        <v>83</v>
      </c>
      <c r="F6" s="288" t="s">
        <v>84</v>
      </c>
      <c r="G6" s="288" t="s">
        <v>85</v>
      </c>
      <c r="H6" s="288" t="s">
        <v>20</v>
      </c>
      <c r="I6" s="36" t="s">
        <v>21</v>
      </c>
      <c r="J6" s="288" t="s">
        <v>22</v>
      </c>
      <c r="K6" s="227" t="s">
        <v>23</v>
      </c>
      <c r="L6" s="227" t="s">
        <v>24</v>
      </c>
      <c r="M6" s="227" t="s">
        <v>25</v>
      </c>
      <c r="N6" s="227" t="s">
        <v>26</v>
      </c>
      <c r="O6" s="227" t="s">
        <v>27</v>
      </c>
      <c r="P6" s="11"/>
      <c r="Q6" s="238" t="s">
        <v>148</v>
      </c>
      <c r="R6" s="239"/>
      <c r="S6" s="40" t="s">
        <v>29</v>
      </c>
      <c r="T6" s="41"/>
      <c r="U6" s="42" t="s">
        <v>30</v>
      </c>
      <c r="W6" s="418" t="s">
        <v>29</v>
      </c>
    </row>
    <row r="7" spans="1:23" s="44" customFormat="1" ht="34.5" customHeight="1">
      <c r="A7" s="240" t="s">
        <v>89</v>
      </c>
      <c r="B7" s="241"/>
      <c r="C7" s="240"/>
      <c r="D7" s="228">
        <v>0</v>
      </c>
      <c r="E7" s="228">
        <v>1100</v>
      </c>
      <c r="F7" s="228">
        <v>4900</v>
      </c>
      <c r="G7" s="228">
        <v>6800</v>
      </c>
      <c r="H7" s="228">
        <v>10500</v>
      </c>
      <c r="I7" s="228">
        <v>32000</v>
      </c>
      <c r="J7" s="228">
        <v>32000</v>
      </c>
      <c r="K7" s="228">
        <v>14800</v>
      </c>
      <c r="L7" s="228">
        <v>18000</v>
      </c>
      <c r="M7" s="228">
        <v>19000</v>
      </c>
      <c r="N7" s="228">
        <v>9800</v>
      </c>
      <c r="O7" s="228">
        <v>1100</v>
      </c>
      <c r="P7" s="229"/>
      <c r="Q7" s="230">
        <f t="shared" ref="Q7:Q11" si="0">SUM(D7:O7)</f>
        <v>150000</v>
      </c>
      <c r="R7" s="243" t="s">
        <v>11</v>
      </c>
      <c r="S7" s="50">
        <v>128800</v>
      </c>
      <c r="T7" s="51"/>
      <c r="U7" s="51">
        <f>+Q7-S7</f>
        <v>21200</v>
      </c>
      <c r="W7" s="52">
        <v>122561.35</v>
      </c>
    </row>
    <row r="8" spans="1:23" s="44" customFormat="1" ht="35.1" customHeight="1">
      <c r="A8" s="240" t="s">
        <v>90</v>
      </c>
      <c r="B8" s="241"/>
      <c r="C8" s="240"/>
      <c r="D8" s="228">
        <v>0</v>
      </c>
      <c r="E8" s="228">
        <v>1500</v>
      </c>
      <c r="F8" s="228">
        <v>6200</v>
      </c>
      <c r="G8" s="228">
        <v>8600</v>
      </c>
      <c r="H8" s="228">
        <v>13800</v>
      </c>
      <c r="I8" s="228">
        <v>42800</v>
      </c>
      <c r="J8" s="228">
        <v>43400</v>
      </c>
      <c r="K8" s="228">
        <v>21000</v>
      </c>
      <c r="L8" s="228">
        <v>24500</v>
      </c>
      <c r="M8" s="228">
        <v>25000</v>
      </c>
      <c r="N8" s="228">
        <v>13500</v>
      </c>
      <c r="O8" s="228">
        <v>1800</v>
      </c>
      <c r="P8" s="229"/>
      <c r="Q8" s="230">
        <f t="shared" si="0"/>
        <v>202100</v>
      </c>
      <c r="R8" s="243" t="s">
        <v>11</v>
      </c>
      <c r="S8" s="50">
        <v>139815</v>
      </c>
      <c r="T8" s="51"/>
      <c r="U8" s="51">
        <f t="shared" ref="U8:U11" si="1">+Q8-S8</f>
        <v>62285</v>
      </c>
      <c r="W8" s="52">
        <v>149691.10999999999</v>
      </c>
    </row>
    <row r="9" spans="1:23" s="44" customFormat="1" ht="35.1" customHeight="1">
      <c r="A9" s="240" t="s">
        <v>91</v>
      </c>
      <c r="B9" s="241"/>
      <c r="C9" s="240"/>
      <c r="D9" s="228">
        <v>0</v>
      </c>
      <c r="E9" s="228">
        <v>0</v>
      </c>
      <c r="F9" s="228">
        <v>0</v>
      </c>
      <c r="G9" s="228">
        <v>0</v>
      </c>
      <c r="H9" s="228">
        <v>0</v>
      </c>
      <c r="I9" s="228">
        <v>0</v>
      </c>
      <c r="J9" s="228">
        <v>0</v>
      </c>
      <c r="K9" s="228">
        <v>0</v>
      </c>
      <c r="L9" s="228">
        <v>0</v>
      </c>
      <c r="M9" s="228">
        <v>0</v>
      </c>
      <c r="N9" s="244">
        <v>0</v>
      </c>
      <c r="O9" s="242">
        <v>0</v>
      </c>
      <c r="P9" s="229"/>
      <c r="Q9" s="230">
        <f t="shared" si="0"/>
        <v>0</v>
      </c>
      <c r="R9" s="243" t="s">
        <v>11</v>
      </c>
      <c r="S9" s="50">
        <v>0</v>
      </c>
      <c r="T9" s="51"/>
      <c r="U9" s="51">
        <f t="shared" si="1"/>
        <v>0</v>
      </c>
      <c r="W9" s="52">
        <v>0</v>
      </c>
    </row>
    <row r="10" spans="1:23" s="44" customFormat="1" ht="34.5" customHeight="1">
      <c r="A10" s="240" t="s">
        <v>92</v>
      </c>
      <c r="B10" s="241"/>
      <c r="C10" s="240"/>
      <c r="D10" s="228">
        <v>0</v>
      </c>
      <c r="E10" s="228">
        <v>0</v>
      </c>
      <c r="F10" s="228">
        <v>0</v>
      </c>
      <c r="G10" s="228">
        <v>700</v>
      </c>
      <c r="H10" s="228">
        <v>2500</v>
      </c>
      <c r="I10" s="228">
        <v>3000</v>
      </c>
      <c r="J10" s="228">
        <v>2500</v>
      </c>
      <c r="K10" s="228">
        <v>2000</v>
      </c>
      <c r="L10" s="228">
        <v>1000</v>
      </c>
      <c r="M10" s="228">
        <v>1000</v>
      </c>
      <c r="N10" s="228">
        <v>0</v>
      </c>
      <c r="O10" s="228">
        <v>0</v>
      </c>
      <c r="P10" s="229"/>
      <c r="Q10" s="230">
        <f t="shared" si="0"/>
        <v>12700</v>
      </c>
      <c r="R10" s="243" t="s">
        <v>11</v>
      </c>
      <c r="S10" s="50">
        <v>1185</v>
      </c>
      <c r="T10" s="51"/>
      <c r="U10" s="51">
        <f t="shared" si="1"/>
        <v>11515</v>
      </c>
      <c r="W10" s="52">
        <v>7493.75</v>
      </c>
    </row>
    <row r="11" spans="1:23" s="44" customFormat="1" ht="35.1" customHeight="1">
      <c r="A11" s="45" t="s">
        <v>93</v>
      </c>
      <c r="B11" s="241"/>
      <c r="C11" s="240"/>
      <c r="D11" s="228">
        <v>0</v>
      </c>
      <c r="E11" s="228">
        <v>0</v>
      </c>
      <c r="F11" s="228">
        <v>0</v>
      </c>
      <c r="G11" s="228">
        <v>0</v>
      </c>
      <c r="H11" s="228">
        <f>'[1]Input Wrksht '!J10</f>
        <v>0</v>
      </c>
      <c r="I11" s="228">
        <f>'[1]Input Wrksht '!K10</f>
        <v>0</v>
      </c>
      <c r="J11" s="228">
        <f>'[1]Input Wrksht '!L10</f>
        <v>0</v>
      </c>
      <c r="K11" s="228">
        <v>0</v>
      </c>
      <c r="L11" s="228">
        <v>0</v>
      </c>
      <c r="M11" s="228">
        <v>0</v>
      </c>
      <c r="N11" s="244">
        <v>0</v>
      </c>
      <c r="O11" s="242">
        <v>0</v>
      </c>
      <c r="P11" s="229"/>
      <c r="Q11" s="230">
        <f t="shared" si="0"/>
        <v>0</v>
      </c>
      <c r="R11" s="243" t="s">
        <v>11</v>
      </c>
      <c r="S11" s="50">
        <v>0</v>
      </c>
      <c r="T11" s="51"/>
      <c r="U11" s="51">
        <f t="shared" si="1"/>
        <v>0</v>
      </c>
      <c r="W11" s="52">
        <v>1353.04</v>
      </c>
    </row>
    <row r="12" spans="1:23" s="44" customFormat="1" ht="35.1" customHeight="1">
      <c r="A12" s="22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 t="s">
        <v>11</v>
      </c>
      <c r="R12" s="243" t="s">
        <v>11</v>
      </c>
      <c r="S12" s="56" t="s">
        <v>11</v>
      </c>
      <c r="T12" s="51"/>
      <c r="U12" s="56" t="s">
        <v>11</v>
      </c>
      <c r="V12" s="56" t="s">
        <v>11</v>
      </c>
      <c r="W12" s="56" t="s">
        <v>11</v>
      </c>
    </row>
    <row r="13" spans="1:23" ht="25.5" customHeight="1" thickBot="1">
      <c r="A13" s="4"/>
      <c r="B13" s="62" t="s">
        <v>37</v>
      </c>
      <c r="C13" s="62"/>
      <c r="D13" s="289">
        <f t="shared" ref="D13:N13" si="2">SUM(D7:D12)</f>
        <v>0</v>
      </c>
      <c r="E13" s="289">
        <f t="shared" si="2"/>
        <v>2600</v>
      </c>
      <c r="F13" s="289">
        <f t="shared" si="2"/>
        <v>11100</v>
      </c>
      <c r="G13" s="289">
        <f t="shared" si="2"/>
        <v>16100</v>
      </c>
      <c r="H13" s="245">
        <f t="shared" si="2"/>
        <v>26800</v>
      </c>
      <c r="I13" s="245">
        <f t="shared" si="2"/>
        <v>77800</v>
      </c>
      <c r="J13" s="245">
        <f t="shared" si="2"/>
        <v>77900</v>
      </c>
      <c r="K13" s="245">
        <f t="shared" si="2"/>
        <v>37800</v>
      </c>
      <c r="L13" s="245">
        <f t="shared" si="2"/>
        <v>43500</v>
      </c>
      <c r="M13" s="245">
        <f t="shared" si="2"/>
        <v>45000</v>
      </c>
      <c r="N13" s="245">
        <f t="shared" si="2"/>
        <v>23300</v>
      </c>
      <c r="O13" s="246">
        <f>SUM(O7:O11)</f>
        <v>2900</v>
      </c>
      <c r="P13" s="229"/>
      <c r="Q13" s="231">
        <f>SUM(Q7:Q11)</f>
        <v>364800</v>
      </c>
      <c r="R13" s="243" t="s">
        <v>11</v>
      </c>
      <c r="S13" s="283">
        <f>SUM(S7:S11)</f>
        <v>269800</v>
      </c>
      <c r="T13" s="51"/>
      <c r="U13" s="64">
        <f>SUM(U7:U12)</f>
        <v>95000</v>
      </c>
      <c r="V13" s="4"/>
      <c r="W13" s="72">
        <f>SUM(W7:W11)</f>
        <v>281099.24999999994</v>
      </c>
    </row>
    <row r="14" spans="1:23" s="4" customFormat="1" ht="19.149999999999999" customHeight="1" thickTop="1">
      <c r="A14" s="247"/>
      <c r="B14" s="432"/>
      <c r="C14" s="433"/>
      <c r="D14" s="434"/>
      <c r="E14" s="434"/>
      <c r="F14" s="434"/>
      <c r="G14" s="434"/>
      <c r="H14" s="434"/>
      <c r="I14" s="435"/>
      <c r="J14" s="434"/>
      <c r="K14" s="434"/>
      <c r="L14" s="434"/>
      <c r="M14" s="434"/>
      <c r="N14" s="434"/>
      <c r="O14" s="434"/>
      <c r="P14" s="436"/>
      <c r="Q14" s="437"/>
      <c r="R14" s="243" t="s">
        <v>11</v>
      </c>
      <c r="S14" s="243" t="s">
        <v>11</v>
      </c>
      <c r="T14" s="243" t="s">
        <v>11</v>
      </c>
      <c r="U14" s="243" t="s">
        <v>11</v>
      </c>
      <c r="V14" s="243" t="s">
        <v>11</v>
      </c>
      <c r="W14" s="243" t="s">
        <v>11</v>
      </c>
    </row>
    <row r="15" spans="1:23" ht="30" customHeight="1">
      <c r="A15" s="111" t="s">
        <v>86</v>
      </c>
      <c r="B15" s="233"/>
      <c r="C15" s="233"/>
      <c r="D15" s="99">
        <v>35</v>
      </c>
      <c r="E15" s="99">
        <v>35</v>
      </c>
      <c r="F15" s="99">
        <v>35</v>
      </c>
      <c r="G15" s="99">
        <v>35</v>
      </c>
      <c r="H15" s="99"/>
      <c r="I15" s="99"/>
      <c r="J15" s="99"/>
      <c r="K15" s="99"/>
      <c r="L15" s="99"/>
      <c r="M15" s="99"/>
      <c r="N15" s="99"/>
      <c r="O15" s="257"/>
      <c r="P15" s="11"/>
      <c r="Q15" s="441"/>
      <c r="R15" s="256" t="s">
        <v>11</v>
      </c>
      <c r="S15" s="284">
        <v>4300</v>
      </c>
      <c r="T15" s="85"/>
      <c r="U15" s="22"/>
    </row>
    <row r="16" spans="1:23" ht="18.600000000000001" customHeight="1">
      <c r="A16" s="252"/>
      <c r="B16" s="281"/>
      <c r="C16" s="282"/>
      <c r="D16" s="290"/>
      <c r="E16" s="290"/>
      <c r="F16" s="290"/>
      <c r="G16" s="290"/>
      <c r="H16" s="290"/>
      <c r="I16" s="290"/>
      <c r="J16" s="291"/>
      <c r="K16" s="290"/>
      <c r="L16" s="290"/>
      <c r="M16" s="290"/>
      <c r="N16" s="290"/>
      <c r="O16" s="290"/>
      <c r="P16" s="258"/>
      <c r="S16" s="22"/>
      <c r="T16" s="95"/>
      <c r="U16" s="92" t="s">
        <v>11</v>
      </c>
      <c r="W16" s="423">
        <v>4692</v>
      </c>
    </row>
    <row r="17" spans="1:26" s="105" customFormat="1" ht="54.6" customHeight="1">
      <c r="A17" s="261" t="s">
        <v>42</v>
      </c>
      <c r="B17" s="119"/>
      <c r="C17" s="119"/>
      <c r="D17" s="120"/>
      <c r="E17" s="120"/>
      <c r="F17" s="120"/>
      <c r="G17" s="121"/>
      <c r="H17" s="121"/>
      <c r="I17" s="121"/>
      <c r="J17" s="121"/>
      <c r="K17" s="121"/>
      <c r="L17" s="121"/>
      <c r="M17" s="121"/>
      <c r="N17" s="121"/>
      <c r="P17" s="229"/>
      <c r="Q17" s="238" t="s">
        <v>147</v>
      </c>
      <c r="R17" s="243" t="s">
        <v>11</v>
      </c>
      <c r="S17" s="40" t="s">
        <v>44</v>
      </c>
      <c r="T17" s="108"/>
      <c r="U17" s="42" t="s">
        <v>30</v>
      </c>
      <c r="V17" s="5"/>
      <c r="W17" s="126" t="s">
        <v>43</v>
      </c>
    </row>
    <row r="18" spans="1:26" s="105" customFormat="1" ht="31.5" customHeight="1">
      <c r="A18" s="148"/>
      <c r="B18" s="148" t="s">
        <v>11</v>
      </c>
      <c r="C18" s="148"/>
      <c r="D18" s="129" t="str">
        <f t="shared" ref="D18:O18" si="3">IF((+D$7+D$8)=0," ",D19/(+D$7+D$8))</f>
        <v xml:space="preserve"> </v>
      </c>
      <c r="E18" s="129">
        <f t="shared" si="3"/>
        <v>0.23846153846153847</v>
      </c>
      <c r="F18" s="129">
        <f t="shared" si="3"/>
        <v>0.23963963963963963</v>
      </c>
      <c r="G18" s="129">
        <f t="shared" si="3"/>
        <v>0.24025974025974026</v>
      </c>
      <c r="H18" s="129">
        <f t="shared" si="3"/>
        <v>0.23991769547325104</v>
      </c>
      <c r="I18" s="129">
        <f t="shared" si="3"/>
        <v>0.23997326203208555</v>
      </c>
      <c r="J18" s="129">
        <f t="shared" si="3"/>
        <v>0.24005305039787797</v>
      </c>
      <c r="K18" s="129">
        <f t="shared" si="3"/>
        <v>0.2399441340782123</v>
      </c>
      <c r="L18" s="129">
        <f t="shared" si="3"/>
        <v>0.24</v>
      </c>
      <c r="M18" s="262">
        <f t="shared" si="3"/>
        <v>0.24</v>
      </c>
      <c r="N18" s="262">
        <f t="shared" si="3"/>
        <v>0.23991416309012875</v>
      </c>
      <c r="O18" s="262">
        <f t="shared" si="3"/>
        <v>0.2413793103448276</v>
      </c>
      <c r="P18" s="11"/>
      <c r="Q18" s="263">
        <f>IF((+Q$7+Q$8)=0," ",Q19/(+Q$7+Q$8))</f>
        <v>0.23998863959102529</v>
      </c>
      <c r="R18" s="243" t="s">
        <v>11</v>
      </c>
      <c r="S18" s="286">
        <v>0.2400089347206969</v>
      </c>
      <c r="T18" s="118"/>
      <c r="U18" s="134"/>
      <c r="V18" s="127"/>
      <c r="W18" s="135">
        <v>0.2399999985307755</v>
      </c>
      <c r="Z18" s="445" t="s">
        <v>120</v>
      </c>
    </row>
    <row r="19" spans="1:26" s="5" customFormat="1" ht="27.75">
      <c r="A19" s="264" t="s">
        <v>97</v>
      </c>
      <c r="B19" s="265"/>
      <c r="C19" s="265"/>
      <c r="D19" s="266">
        <f t="shared" ref="D19:O19" si="4">ROUND(SUM(D7:D8)*0.24,-1)</f>
        <v>0</v>
      </c>
      <c r="E19" s="266">
        <f t="shared" si="4"/>
        <v>620</v>
      </c>
      <c r="F19" s="266">
        <f t="shared" si="4"/>
        <v>2660</v>
      </c>
      <c r="G19" s="266">
        <f t="shared" si="4"/>
        <v>3700</v>
      </c>
      <c r="H19" s="266">
        <f t="shared" si="4"/>
        <v>5830</v>
      </c>
      <c r="I19" s="266">
        <f t="shared" si="4"/>
        <v>17950</v>
      </c>
      <c r="J19" s="266">
        <f t="shared" si="4"/>
        <v>18100</v>
      </c>
      <c r="K19" s="266">
        <f t="shared" si="4"/>
        <v>8590</v>
      </c>
      <c r="L19" s="266">
        <f t="shared" si="4"/>
        <v>10200</v>
      </c>
      <c r="M19" s="266">
        <f t="shared" si="4"/>
        <v>10560</v>
      </c>
      <c r="N19" s="266">
        <f t="shared" si="4"/>
        <v>5590</v>
      </c>
      <c r="O19" s="266">
        <f t="shared" si="4"/>
        <v>700</v>
      </c>
      <c r="P19" s="267"/>
      <c r="Q19" s="266">
        <f>SUM(D19:O19)</f>
        <v>84500</v>
      </c>
      <c r="R19" s="243" t="s">
        <v>11</v>
      </c>
      <c r="S19" s="425">
        <v>64470</v>
      </c>
      <c r="T19" s="125"/>
      <c r="U19" s="85">
        <f>+Q19-S19</f>
        <v>20030</v>
      </c>
      <c r="V19" s="4"/>
      <c r="W19" s="140">
        <v>65340.590000000004</v>
      </c>
      <c r="Z19" s="442">
        <f>SUM(Q7:Q8)*0.24</f>
        <v>84504</v>
      </c>
    </row>
    <row r="20" spans="1:26" s="127" customFormat="1" ht="27" customHeight="1">
      <c r="A20" s="124"/>
      <c r="B20" s="124"/>
      <c r="C20" s="124"/>
      <c r="D20" s="141" t="str">
        <f t="shared" ref="D20:O20" si="5">IF((+D$7+D$8)=0," ",(+D21+D22)/(+D$7+D$8))</f>
        <v xml:space="preserve"> </v>
      </c>
      <c r="E20" s="141">
        <f t="shared" si="5"/>
        <v>1.5385961538461539</v>
      </c>
      <c r="F20" s="141">
        <f t="shared" si="5"/>
        <v>0.40543743743743749</v>
      </c>
      <c r="G20" s="141">
        <f t="shared" si="5"/>
        <v>0.33768606393606393</v>
      </c>
      <c r="H20" s="141">
        <f t="shared" si="5"/>
        <v>0.2469286694101509</v>
      </c>
      <c r="I20" s="141">
        <f t="shared" si="5"/>
        <v>0.1149779256311404</v>
      </c>
      <c r="J20" s="141">
        <f t="shared" si="5"/>
        <v>0.12202052819743973</v>
      </c>
      <c r="K20" s="141">
        <f>IF((+K$7+K$8)=0," ",(+K21+K22)/(+K$7+K$8))</f>
        <v>0.22906049870554573</v>
      </c>
      <c r="L20" s="141">
        <f t="shared" si="5"/>
        <v>0.2000083044982699</v>
      </c>
      <c r="M20" s="141">
        <f t="shared" si="5"/>
        <v>0.19318983957219252</v>
      </c>
      <c r="N20" s="141">
        <f t="shared" si="5"/>
        <v>0.19744075387199103</v>
      </c>
      <c r="O20" s="141">
        <f t="shared" si="5"/>
        <v>1.724262068965517</v>
      </c>
      <c r="P20" s="124"/>
      <c r="Q20" s="141">
        <f>IF((+Q$7+Q$8)=0," ",(+Q21+Q22)/(+Q$7+Q$8))</f>
        <v>0.21442873506360136</v>
      </c>
      <c r="R20" s="243" t="s">
        <v>11</v>
      </c>
      <c r="S20" s="142">
        <v>0.27628896990844576</v>
      </c>
      <c r="T20" s="124"/>
      <c r="U20" s="134"/>
      <c r="V20" s="143"/>
      <c r="W20" s="135">
        <v>0.3238987876545148</v>
      </c>
    </row>
    <row r="21" spans="1:26" s="4" customFormat="1" ht="35.1" customHeight="1">
      <c r="A21" s="240" t="s">
        <v>98</v>
      </c>
      <c r="B21" s="45"/>
      <c r="C21" s="45"/>
      <c r="D21" s="145">
        <v>3200</v>
      </c>
      <c r="E21" s="145">
        <v>4000</v>
      </c>
      <c r="F21" s="145">
        <v>4500</v>
      </c>
      <c r="G21" s="145">
        <v>5200</v>
      </c>
      <c r="H21" s="145">
        <v>6000</v>
      </c>
      <c r="I21" s="145">
        <v>8600</v>
      </c>
      <c r="J21" s="145">
        <v>9200</v>
      </c>
      <c r="K21" s="145">
        <v>8200</v>
      </c>
      <c r="L21" s="145">
        <v>8500</v>
      </c>
      <c r="M21" s="145">
        <v>8500</v>
      </c>
      <c r="N21" s="145">
        <v>4600</v>
      </c>
      <c r="O21" s="145">
        <v>5000</v>
      </c>
      <c r="P21" s="48"/>
      <c r="Q21" s="139">
        <f t="shared" ref="Q21:Q47" si="6">SUM(D21:O21)</f>
        <v>75500</v>
      </c>
      <c r="R21" s="243" t="s">
        <v>11</v>
      </c>
      <c r="S21" s="53">
        <v>74215</v>
      </c>
      <c r="T21" s="85"/>
      <c r="U21" s="85">
        <f>+Q21-S21</f>
        <v>1285</v>
      </c>
      <c r="V21" s="143"/>
      <c r="W21" s="140">
        <v>88181.959999999992</v>
      </c>
    </row>
    <row r="22" spans="1:26" s="127" customFormat="1" ht="27" customHeight="1">
      <c r="A22" s="124"/>
      <c r="B22" s="124"/>
      <c r="C22" s="124"/>
      <c r="D22" s="141">
        <f t="shared" ref="D22:Q22" si="7">IF(+D$21=0," ",D23/+D$21)</f>
        <v>0.375</v>
      </c>
      <c r="E22" s="141">
        <f t="shared" si="7"/>
        <v>0.35</v>
      </c>
      <c r="F22" s="141">
        <f t="shared" si="7"/>
        <v>0.35555555555555557</v>
      </c>
      <c r="G22" s="141">
        <f t="shared" si="7"/>
        <v>0.36538461538461536</v>
      </c>
      <c r="H22" s="141">
        <f t="shared" si="7"/>
        <v>0.36666666666666664</v>
      </c>
      <c r="I22" s="141">
        <f t="shared" si="7"/>
        <v>0.34883720930232559</v>
      </c>
      <c r="J22" s="141">
        <f t="shared" si="7"/>
        <v>0.34782608695652173</v>
      </c>
      <c r="K22" s="141">
        <f t="shared" si="7"/>
        <v>0.36585365853658536</v>
      </c>
      <c r="L22" s="141">
        <f t="shared" si="7"/>
        <v>0.35294117647058826</v>
      </c>
      <c r="M22" s="141">
        <f t="shared" si="7"/>
        <v>0.35294117647058826</v>
      </c>
      <c r="N22" s="141">
        <f t="shared" si="7"/>
        <v>0.36956521739130432</v>
      </c>
      <c r="O22" s="141">
        <f t="shared" si="7"/>
        <v>0.36</v>
      </c>
      <c r="P22" s="147"/>
      <c r="Q22" s="141">
        <f t="shared" si="7"/>
        <v>0.35761589403973509</v>
      </c>
      <c r="R22" s="243" t="s">
        <v>11</v>
      </c>
      <c r="S22" s="133">
        <v>0.36165195715151921</v>
      </c>
      <c r="T22" s="124"/>
      <c r="U22" s="134"/>
      <c r="V22" s="143"/>
      <c r="W22" s="135">
        <v>0.28172995927965311</v>
      </c>
    </row>
    <row r="23" spans="1:26" s="44" customFormat="1" ht="34.5" customHeight="1">
      <c r="A23" s="45" t="s">
        <v>99</v>
      </c>
      <c r="B23" s="45"/>
      <c r="C23" s="45"/>
      <c r="D23" s="145">
        <v>1200</v>
      </c>
      <c r="E23" s="145">
        <v>1400</v>
      </c>
      <c r="F23" s="145">
        <v>1600</v>
      </c>
      <c r="G23" s="145">
        <v>1900</v>
      </c>
      <c r="H23" s="145">
        <v>2200</v>
      </c>
      <c r="I23" s="145">
        <v>3000</v>
      </c>
      <c r="J23" s="145">
        <v>3200</v>
      </c>
      <c r="K23" s="145">
        <v>3000</v>
      </c>
      <c r="L23" s="145">
        <v>3000</v>
      </c>
      <c r="M23" s="145">
        <v>3000</v>
      </c>
      <c r="N23" s="145">
        <v>1700</v>
      </c>
      <c r="O23" s="145">
        <v>1800</v>
      </c>
      <c r="P23" s="48"/>
      <c r="Q23" s="139">
        <f t="shared" si="6"/>
        <v>27000</v>
      </c>
      <c r="R23" s="243" t="s">
        <v>11</v>
      </c>
      <c r="S23" s="53">
        <v>26840</v>
      </c>
      <c r="T23" s="51"/>
      <c r="U23" s="85">
        <f>+Q23-S23</f>
        <v>160</v>
      </c>
      <c r="V23" s="143"/>
      <c r="W23" s="140">
        <v>24843.499999999996</v>
      </c>
    </row>
    <row r="24" spans="1:26" s="127" customFormat="1" ht="27" customHeight="1">
      <c r="A24" s="124"/>
      <c r="B24" s="124"/>
      <c r="C24" s="124"/>
      <c r="D24" s="141" t="str">
        <f t="shared" ref="D24:O24" si="8">IF((+D$7+D$8)=0," ",D25/(+D$7+D$8))</f>
        <v xml:space="preserve"> </v>
      </c>
      <c r="E24" s="141">
        <f t="shared" si="8"/>
        <v>6.9230769230769235E-2</v>
      </c>
      <c r="F24" s="141">
        <f t="shared" si="8"/>
        <v>0</v>
      </c>
      <c r="G24" s="141">
        <f t="shared" si="8"/>
        <v>0</v>
      </c>
      <c r="H24" s="141">
        <f t="shared" si="8"/>
        <v>0</v>
      </c>
      <c r="I24" s="141">
        <f t="shared" si="8"/>
        <v>2.6737967914438501E-3</v>
      </c>
      <c r="J24" s="141">
        <f t="shared" si="8"/>
        <v>3.4482758620689655E-3</v>
      </c>
      <c r="K24" s="141">
        <f t="shared" si="8"/>
        <v>0</v>
      </c>
      <c r="L24" s="141">
        <f t="shared" si="8"/>
        <v>0</v>
      </c>
      <c r="M24" s="141">
        <f t="shared" si="8"/>
        <v>4.0909090909090912E-3</v>
      </c>
      <c r="N24" s="141">
        <f t="shared" si="8"/>
        <v>1.201716738197425E-2</v>
      </c>
      <c r="O24" s="141">
        <f t="shared" si="8"/>
        <v>0</v>
      </c>
      <c r="P24" s="124"/>
      <c r="Q24" s="141">
        <f>IF((+Q$7+Q$8)=0," ",(+Q25+Q26)/(+Q$7+Q$8))</f>
        <v>3.1247107829215181E-3</v>
      </c>
      <c r="R24" s="243" t="s">
        <v>11</v>
      </c>
      <c r="S24" s="133">
        <v>2.6045455391545519E-3</v>
      </c>
      <c r="T24" s="124"/>
      <c r="U24" s="134"/>
      <c r="V24" s="143"/>
      <c r="W24" s="135">
        <v>4.482934699653403E-3</v>
      </c>
    </row>
    <row r="25" spans="1:26" s="44" customFormat="1" ht="35.1" customHeight="1">
      <c r="A25" s="45" t="s">
        <v>100</v>
      </c>
      <c r="B25" s="45"/>
      <c r="C25" s="45"/>
      <c r="D25" s="145">
        <v>0</v>
      </c>
      <c r="E25" s="145">
        <v>180</v>
      </c>
      <c r="F25" s="145">
        <v>0</v>
      </c>
      <c r="G25" s="145">
        <v>0</v>
      </c>
      <c r="H25" s="145">
        <v>0</v>
      </c>
      <c r="I25" s="145">
        <v>200</v>
      </c>
      <c r="J25" s="145">
        <v>260</v>
      </c>
      <c r="K25" s="145">
        <v>0</v>
      </c>
      <c r="L25" s="145">
        <v>0</v>
      </c>
      <c r="M25" s="145">
        <v>180</v>
      </c>
      <c r="N25" s="145">
        <v>280</v>
      </c>
      <c r="O25" s="145">
        <v>0</v>
      </c>
      <c r="P25" s="48"/>
      <c r="Q25" s="139">
        <f t="shared" si="6"/>
        <v>1100</v>
      </c>
      <c r="R25" s="243" t="s">
        <v>11</v>
      </c>
      <c r="S25" s="53">
        <v>699.62</v>
      </c>
      <c r="T25" s="51"/>
      <c r="U25" s="85">
        <f>+Q25-S25</f>
        <v>400.38</v>
      </c>
      <c r="V25" s="143"/>
      <c r="W25" s="140">
        <v>1220.49</v>
      </c>
    </row>
    <row r="26" spans="1:26" s="127" customFormat="1" ht="27" customHeight="1">
      <c r="A26" s="124"/>
      <c r="B26" s="124"/>
      <c r="C26" s="124"/>
      <c r="D26" s="141" t="str">
        <f t="shared" ref="D26:O26" si="9">IF(+D$7=0," ",D27/+D$7)</f>
        <v xml:space="preserve"> </v>
      </c>
      <c r="E26" s="141">
        <f t="shared" si="9"/>
        <v>0.36363636363636365</v>
      </c>
      <c r="F26" s="141">
        <f t="shared" si="9"/>
        <v>0.2857142857142857</v>
      </c>
      <c r="G26" s="141">
        <f t="shared" si="9"/>
        <v>0.17647058823529413</v>
      </c>
      <c r="H26" s="141">
        <f t="shared" si="9"/>
        <v>0.20952380952380953</v>
      </c>
      <c r="I26" s="141">
        <f t="shared" si="9"/>
        <v>0.203125</v>
      </c>
      <c r="J26" s="141">
        <f t="shared" si="9"/>
        <v>0.21875</v>
      </c>
      <c r="K26" s="141">
        <f t="shared" si="9"/>
        <v>0.20270270270270271</v>
      </c>
      <c r="L26" s="141">
        <f t="shared" si="9"/>
        <v>0.22222222222222221</v>
      </c>
      <c r="M26" s="141">
        <f t="shared" si="9"/>
        <v>0.18947368421052632</v>
      </c>
      <c r="N26" s="141">
        <f t="shared" si="9"/>
        <v>0.21428571428571427</v>
      </c>
      <c r="O26" s="141">
        <f t="shared" si="9"/>
        <v>0.18181818181818182</v>
      </c>
      <c r="P26" s="124"/>
      <c r="Q26" s="438">
        <f>IF(+Q$7=0," ",Q27/+Q$7)</f>
        <v>0.21066666666666667</v>
      </c>
      <c r="R26" s="243" t="s">
        <v>11</v>
      </c>
      <c r="S26" s="133">
        <v>0.1513975155279503</v>
      </c>
      <c r="T26" s="124"/>
      <c r="U26" s="134"/>
      <c r="V26" s="143"/>
      <c r="W26" s="135">
        <v>0.16528367221803611</v>
      </c>
    </row>
    <row r="27" spans="1:26" s="44" customFormat="1" ht="35.1" customHeight="1">
      <c r="A27" s="45" t="s">
        <v>101</v>
      </c>
      <c r="B27" s="45"/>
      <c r="C27" s="45"/>
      <c r="D27" s="145">
        <v>0</v>
      </c>
      <c r="E27" s="145">
        <v>400</v>
      </c>
      <c r="F27" s="145">
        <v>1400</v>
      </c>
      <c r="G27" s="145">
        <v>1200</v>
      </c>
      <c r="H27" s="145">
        <v>2200</v>
      </c>
      <c r="I27" s="145">
        <v>6500</v>
      </c>
      <c r="J27" s="145">
        <v>7000</v>
      </c>
      <c r="K27" s="145">
        <v>3000</v>
      </c>
      <c r="L27" s="145">
        <v>4000</v>
      </c>
      <c r="M27" s="145">
        <v>3600</v>
      </c>
      <c r="N27" s="145">
        <v>2100</v>
      </c>
      <c r="O27" s="145">
        <v>200</v>
      </c>
      <c r="P27" s="48"/>
      <c r="Q27" s="139">
        <f t="shared" si="6"/>
        <v>31600</v>
      </c>
      <c r="R27" s="243" t="s">
        <v>11</v>
      </c>
      <c r="S27" s="53">
        <v>19500</v>
      </c>
      <c r="T27" s="51"/>
      <c r="U27" s="85">
        <f>+Q27-S27</f>
        <v>12100</v>
      </c>
      <c r="V27" s="143"/>
      <c r="W27" s="140">
        <v>20257.39</v>
      </c>
      <c r="Y27" s="127"/>
    </row>
    <row r="28" spans="1:26" s="127" customFormat="1" ht="27" customHeight="1">
      <c r="A28" s="124"/>
      <c r="B28" s="124"/>
      <c r="C28" s="124"/>
      <c r="D28" s="141" t="str">
        <f t="shared" ref="D28:O28" si="10">IF((+D$7+D$8)=0," ",D29/(+D$7+D$8))</f>
        <v xml:space="preserve"> </v>
      </c>
      <c r="E28" s="141">
        <f t="shared" si="10"/>
        <v>0.11538461538461539</v>
      </c>
      <c r="F28" s="141">
        <f t="shared" si="10"/>
        <v>4.5045045045045045E-3</v>
      </c>
      <c r="G28" s="141">
        <f t="shared" si="10"/>
        <v>0</v>
      </c>
      <c r="H28" s="141">
        <f t="shared" si="10"/>
        <v>4.11522633744856E-3</v>
      </c>
      <c r="I28" s="141">
        <f t="shared" si="10"/>
        <v>6.6844919786096253E-4</v>
      </c>
      <c r="J28" s="141">
        <f t="shared" si="10"/>
        <v>1.3262599469496021E-3</v>
      </c>
      <c r="K28" s="141">
        <f t="shared" si="10"/>
        <v>2.7932960893854749E-3</v>
      </c>
      <c r="L28" s="141">
        <f t="shared" si="10"/>
        <v>0</v>
      </c>
      <c r="M28" s="141">
        <f t="shared" si="10"/>
        <v>0</v>
      </c>
      <c r="N28" s="141">
        <f t="shared" si="10"/>
        <v>4.2918454935622317E-3</v>
      </c>
      <c r="O28" s="141">
        <f t="shared" si="10"/>
        <v>0</v>
      </c>
      <c r="P28" s="124"/>
      <c r="Q28" s="141">
        <f t="shared" ref="Q28" si="11">IF(+Q$21=0," ",Q29/+Q$21)</f>
        <v>1.0596026490066225E-2</v>
      </c>
      <c r="R28" s="243" t="s">
        <v>11</v>
      </c>
      <c r="S28" s="133">
        <v>4.5418163542616753E-3</v>
      </c>
      <c r="T28" s="124"/>
      <c r="U28" s="134"/>
      <c r="V28" s="143"/>
      <c r="W28" s="135">
        <v>5.7311144222535219E-3</v>
      </c>
    </row>
    <row r="29" spans="1:26" s="44" customFormat="1" ht="35.1" customHeight="1">
      <c r="A29" s="45" t="s">
        <v>102</v>
      </c>
      <c r="B29" s="45"/>
      <c r="C29" s="45"/>
      <c r="D29" s="145">
        <v>0</v>
      </c>
      <c r="E29" s="145">
        <v>300</v>
      </c>
      <c r="F29" s="145">
        <v>50</v>
      </c>
      <c r="G29" s="145">
        <v>0</v>
      </c>
      <c r="H29" s="145">
        <v>100</v>
      </c>
      <c r="I29" s="145">
        <v>50</v>
      </c>
      <c r="J29" s="145">
        <v>100</v>
      </c>
      <c r="K29" s="145">
        <v>100</v>
      </c>
      <c r="L29" s="145">
        <v>0</v>
      </c>
      <c r="M29" s="145">
        <v>0</v>
      </c>
      <c r="N29" s="145">
        <v>100</v>
      </c>
      <c r="O29" s="145">
        <v>0</v>
      </c>
      <c r="P29" s="48"/>
      <c r="Q29" s="139">
        <f t="shared" si="6"/>
        <v>800</v>
      </c>
      <c r="R29" s="243" t="s">
        <v>11</v>
      </c>
      <c r="S29" s="53">
        <v>1220</v>
      </c>
      <c r="T29" s="51"/>
      <c r="U29" s="85">
        <f>+Q29-S29</f>
        <v>-420</v>
      </c>
      <c r="V29" s="143"/>
      <c r="W29" s="140">
        <v>1560.31</v>
      </c>
    </row>
    <row r="30" spans="1:26" s="127" customFormat="1" ht="27" customHeight="1">
      <c r="A30" s="124"/>
      <c r="B30" s="148"/>
      <c r="C30" s="148"/>
      <c r="D30" s="141" t="str">
        <f>IF((+D$7+D$8)=0," ",D31/(+D$7+D$8))</f>
        <v xml:space="preserve"> </v>
      </c>
      <c r="E30" s="141">
        <f>IF((+E$7+E$8)=0," ",E31/(+E$7+E$8))</f>
        <v>1.2307692307692308</v>
      </c>
      <c r="F30" s="141">
        <f>IF((+F$7+F$8)=0," ",F31/(+F$7+F$8))</f>
        <v>0.28828828828828829</v>
      </c>
      <c r="G30" s="141">
        <f>IF((+G$7+G$8)=0," ",G31/(+G$7+G$8))</f>
        <v>0.20779220779220781</v>
      </c>
      <c r="H30" s="141">
        <f>IF((+H$7+H$8)=0," ",H31/(+H$7+H$8))</f>
        <v>0.13168724279835392</v>
      </c>
      <c r="I30" s="141">
        <f>IF((O33+I$7+I$8)=0," ",I31/(+I$7+I$8))</f>
        <v>6.684491978609626E-2</v>
      </c>
      <c r="J30" s="141">
        <f>IF((P33+J$7+J$8)=0," ",J31/(+J$7+J$8))</f>
        <v>6.6312997347480113E-2</v>
      </c>
      <c r="K30" s="141">
        <f t="shared" ref="K30:O30" si="12">IF((+K$7+K$8)=0," ",K31/(+K$7+K$8))</f>
        <v>0.15363128491620112</v>
      </c>
      <c r="L30" s="141">
        <f t="shared" si="12"/>
        <v>9.4117647058823528E-2</v>
      </c>
      <c r="M30" s="141">
        <f t="shared" si="12"/>
        <v>7.9545454545454544E-2</v>
      </c>
      <c r="N30" s="141">
        <f t="shared" si="12"/>
        <v>0.19313304721030042</v>
      </c>
      <c r="O30" s="141">
        <f t="shared" si="12"/>
        <v>1.2068965517241379</v>
      </c>
      <c r="P30" s="124"/>
      <c r="Q30" s="141">
        <f>IF((+Q$7+Q$8)=0," ",(+Q31+Q32)/(+Q$7+Q$8))</f>
        <v>0.13348536847241299</v>
      </c>
      <c r="R30" s="243" t="s">
        <v>11</v>
      </c>
      <c r="S30" s="133">
        <v>8.9179680956015112E-2</v>
      </c>
      <c r="T30" s="124"/>
      <c r="U30" s="134"/>
      <c r="V30" s="143"/>
      <c r="W30" s="135">
        <v>8.6224675435439602E-2</v>
      </c>
    </row>
    <row r="31" spans="1:26" s="44" customFormat="1" ht="35.1" customHeight="1">
      <c r="A31" s="45" t="s">
        <v>103</v>
      </c>
      <c r="B31" s="149"/>
      <c r="C31" s="149"/>
      <c r="D31" s="145">
        <v>3200</v>
      </c>
      <c r="E31" s="145">
        <v>3200</v>
      </c>
      <c r="F31" s="145">
        <v>3200</v>
      </c>
      <c r="G31" s="145">
        <v>3200</v>
      </c>
      <c r="H31" s="145">
        <v>3200</v>
      </c>
      <c r="I31" s="145">
        <v>5000</v>
      </c>
      <c r="J31" s="145">
        <v>5000</v>
      </c>
      <c r="K31" s="145">
        <v>5500</v>
      </c>
      <c r="L31" s="145">
        <v>4000</v>
      </c>
      <c r="M31" s="145">
        <v>3500</v>
      </c>
      <c r="N31" s="145">
        <v>4500</v>
      </c>
      <c r="O31" s="145">
        <v>3500</v>
      </c>
      <c r="P31" s="48"/>
      <c r="Q31" s="139">
        <f t="shared" si="6"/>
        <v>47000</v>
      </c>
      <c r="R31" s="243" t="s">
        <v>11</v>
      </c>
      <c r="S31" s="53">
        <v>23955</v>
      </c>
      <c r="T31" s="51"/>
      <c r="U31" s="85">
        <f>+Q31-S31</f>
        <v>23045</v>
      </c>
      <c r="V31" s="143"/>
      <c r="W31" s="140">
        <v>23474.880000000001</v>
      </c>
    </row>
    <row r="32" spans="1:26" s="127" customFormat="1" ht="27" customHeight="1">
      <c r="A32" s="124"/>
      <c r="B32" s="124"/>
      <c r="C32" s="124"/>
      <c r="D32" s="141" t="str">
        <f t="shared" ref="D32:O32" si="13">IF((+D$7+D$8)=0," ",D33/(+D$7+D$8))</f>
        <v xml:space="preserve"> </v>
      </c>
      <c r="E32" s="141">
        <f t="shared" si="13"/>
        <v>2.2384615384615385</v>
      </c>
      <c r="F32" s="141">
        <f t="shared" si="13"/>
        <v>0.5243243243243243</v>
      </c>
      <c r="G32" s="141">
        <f t="shared" si="13"/>
        <v>0.37792207792207794</v>
      </c>
      <c r="H32" s="141">
        <f t="shared" si="13"/>
        <v>0.23950617283950618</v>
      </c>
      <c r="I32" s="141">
        <f t="shared" si="13"/>
        <v>7.780748663101604E-2</v>
      </c>
      <c r="J32" s="141">
        <f t="shared" si="13"/>
        <v>7.7188328912466839E-2</v>
      </c>
      <c r="K32" s="141">
        <f t="shared" si="13"/>
        <v>0.16256983240223463</v>
      </c>
      <c r="L32" s="141">
        <f t="shared" si="13"/>
        <v>0.13694117647058823</v>
      </c>
      <c r="M32" s="141">
        <f t="shared" si="13"/>
        <v>0.13227272727272726</v>
      </c>
      <c r="N32" s="141">
        <f t="shared" si="13"/>
        <v>0.24892703862660945</v>
      </c>
      <c r="O32" s="141">
        <f t="shared" si="13"/>
        <v>2</v>
      </c>
      <c r="P32" s="124"/>
      <c r="Q32" s="141">
        <f>IF((+Q$7+Q$8)=0," ",Q33/(+Q$7+Q$8))</f>
        <v>0.19823913660891793</v>
      </c>
      <c r="R32" s="243" t="s">
        <v>11</v>
      </c>
      <c r="S32" s="133">
        <v>7.1477765575265709E-2</v>
      </c>
      <c r="T32" s="124"/>
      <c r="U32" s="134"/>
      <c r="V32" s="143"/>
      <c r="W32" s="135">
        <v>7.1360236744968261E-2</v>
      </c>
    </row>
    <row r="33" spans="1:26" s="44" customFormat="1" ht="35.1" customHeight="1">
      <c r="A33" s="268" t="s">
        <v>104</v>
      </c>
      <c r="B33" s="268"/>
      <c r="C33" s="268"/>
      <c r="D33" s="292">
        <v>5820</v>
      </c>
      <c r="E33" s="292">
        <f>D33</f>
        <v>5820</v>
      </c>
      <c r="F33" s="292">
        <f t="shared" ref="F33:O33" si="14">E33</f>
        <v>5820</v>
      </c>
      <c r="G33" s="292">
        <f t="shared" si="14"/>
        <v>5820</v>
      </c>
      <c r="H33" s="292">
        <f t="shared" si="14"/>
        <v>5820</v>
      </c>
      <c r="I33" s="292">
        <f t="shared" si="14"/>
        <v>5820</v>
      </c>
      <c r="J33" s="292">
        <f t="shared" si="14"/>
        <v>5820</v>
      </c>
      <c r="K33" s="292">
        <f t="shared" si="14"/>
        <v>5820</v>
      </c>
      <c r="L33" s="292">
        <f t="shared" si="14"/>
        <v>5820</v>
      </c>
      <c r="M33" s="292">
        <f t="shared" si="14"/>
        <v>5820</v>
      </c>
      <c r="N33" s="292">
        <v>5800</v>
      </c>
      <c r="O33" s="292">
        <f t="shared" si="14"/>
        <v>5800</v>
      </c>
      <c r="P33" s="11"/>
      <c r="Q33" s="269">
        <f>SUM(D33:O33)</f>
        <v>69800</v>
      </c>
      <c r="R33" s="243" t="s">
        <v>11</v>
      </c>
      <c r="S33" s="425">
        <v>19200</v>
      </c>
      <c r="T33" s="51"/>
      <c r="U33" s="85">
        <f>+Q33-S33</f>
        <v>50600</v>
      </c>
      <c r="V33" s="143"/>
      <c r="W33" s="420">
        <v>19428</v>
      </c>
      <c r="Z33" s="440">
        <f>SUM(D33:O33)</f>
        <v>69800</v>
      </c>
    </row>
    <row r="34" spans="1:26" s="127" customFormat="1" ht="27" customHeight="1">
      <c r="A34" s="124"/>
      <c r="B34" s="124"/>
      <c r="C34" s="124"/>
      <c r="D34" s="141" t="str">
        <f t="shared" ref="D34:O34" si="15">IF((+D$7+D$8)=0," ",D35/(+D$7+D$8))</f>
        <v xml:space="preserve"> </v>
      </c>
      <c r="E34" s="141">
        <f t="shared" si="15"/>
        <v>0</v>
      </c>
      <c r="F34" s="141">
        <f t="shared" si="15"/>
        <v>8.1081081081081086E-2</v>
      </c>
      <c r="G34" s="141">
        <f t="shared" si="15"/>
        <v>0</v>
      </c>
      <c r="H34" s="141">
        <f t="shared" si="15"/>
        <v>4.11522633744856E-3</v>
      </c>
      <c r="I34" s="141">
        <f t="shared" si="15"/>
        <v>1.06951871657754E-2</v>
      </c>
      <c r="J34" s="141">
        <f t="shared" si="15"/>
        <v>2.6525198938992041E-3</v>
      </c>
      <c r="K34" s="141">
        <f t="shared" si="15"/>
        <v>8.3798882681564244E-3</v>
      </c>
      <c r="L34" s="141">
        <f t="shared" si="15"/>
        <v>0</v>
      </c>
      <c r="M34" s="141">
        <f t="shared" si="15"/>
        <v>2.2727272727272726E-3</v>
      </c>
      <c r="N34" s="141">
        <f t="shared" si="15"/>
        <v>3.4334763948497854E-2</v>
      </c>
      <c r="O34" s="141">
        <f t="shared" si="15"/>
        <v>6.8965517241379309E-2</v>
      </c>
      <c r="P34" s="124"/>
      <c r="Q34" s="141">
        <f>IF((+Q$7+Q$8)=0," ",Q35/(+Q$7+Q$8))</f>
        <v>1.3064470320931554E-2</v>
      </c>
      <c r="R34" s="243" t="s">
        <v>11</v>
      </c>
      <c r="S34" s="133">
        <v>9.3995495411648648E-3</v>
      </c>
      <c r="T34" s="124"/>
      <c r="U34" s="134"/>
      <c r="V34" s="143"/>
      <c r="W34" s="135">
        <v>7.0515799930696696E-3</v>
      </c>
    </row>
    <row r="35" spans="1:26" s="44" customFormat="1" ht="35.1" customHeight="1">
      <c r="A35" s="45" t="s">
        <v>105</v>
      </c>
      <c r="B35" s="45"/>
      <c r="C35" s="45"/>
      <c r="D35" s="145">
        <v>1200</v>
      </c>
      <c r="E35" s="145">
        <v>0</v>
      </c>
      <c r="F35" s="145">
        <v>900</v>
      </c>
      <c r="G35" s="145">
        <v>0</v>
      </c>
      <c r="H35" s="145">
        <v>100</v>
      </c>
      <c r="I35" s="145">
        <v>800</v>
      </c>
      <c r="J35" s="145">
        <v>200</v>
      </c>
      <c r="K35" s="145">
        <v>300</v>
      </c>
      <c r="L35" s="145">
        <v>0</v>
      </c>
      <c r="M35" s="145">
        <v>100</v>
      </c>
      <c r="N35" s="145">
        <v>800</v>
      </c>
      <c r="O35" s="145">
        <v>200</v>
      </c>
      <c r="P35" s="48"/>
      <c r="Q35" s="139">
        <f t="shared" si="6"/>
        <v>4600</v>
      </c>
      <c r="R35" s="243" t="s">
        <v>11</v>
      </c>
      <c r="S35" s="53">
        <v>2524.86</v>
      </c>
      <c r="T35" s="51"/>
      <c r="U35" s="85">
        <f>+Q35-S35</f>
        <v>2075.14</v>
      </c>
      <c r="V35" s="143"/>
      <c r="W35" s="140">
        <v>1919.8100000000002</v>
      </c>
    </row>
    <row r="36" spans="1:26" s="127" customFormat="1" ht="27" customHeight="1">
      <c r="A36" s="124"/>
      <c r="B36" s="124"/>
      <c r="C36" s="124"/>
      <c r="D36" s="141" t="str">
        <f t="shared" ref="D36:J36" si="16">IF((+D$7+D$8)=0," ",D37/(+D$7+D$8))</f>
        <v xml:space="preserve"> </v>
      </c>
      <c r="E36" s="141">
        <f t="shared" si="16"/>
        <v>0.35230769230769232</v>
      </c>
      <c r="F36" s="141">
        <f t="shared" si="16"/>
        <v>8.2522522522522526E-2</v>
      </c>
      <c r="G36" s="141">
        <f t="shared" si="16"/>
        <v>5.9480519480519481E-2</v>
      </c>
      <c r="H36" s="141">
        <f t="shared" si="16"/>
        <v>3.7695473251028809E-2</v>
      </c>
      <c r="I36" s="141">
        <f t="shared" si="16"/>
        <v>1.2245989304812833E-2</v>
      </c>
      <c r="J36" s="141">
        <f t="shared" si="16"/>
        <v>1.2254641909814323E-2</v>
      </c>
      <c r="K36" s="141">
        <f>IF((+K$7+K$8)=0," ",K37/(+K$7+K$8))</f>
        <v>2.5586592178770951E-2</v>
      </c>
      <c r="L36" s="141">
        <f>IF((+L$7+L$8)=0," ",L37/(+L$7+L$8))</f>
        <v>2.1552941176470587E-2</v>
      </c>
      <c r="M36" s="141">
        <f>IF((+M$7+M$8)=0," ",M37/(+M$7+M$8))</f>
        <v>2.0818181818181819E-2</v>
      </c>
      <c r="N36" s="141">
        <f>IF((+N$7+N$8)=0," ",N37/(+N$7+N$8))</f>
        <v>3.9313304721030042E-2</v>
      </c>
      <c r="O36" s="141">
        <f>IF((+O$7+O$8)=0," ",O37/(+O$7+O$8))</f>
        <v>0.31586206896551722</v>
      </c>
      <c r="P36" s="147"/>
      <c r="Q36" s="141">
        <f>IF((+Q$7+Q$8)=0," ",Q37/(+Q$7+Q$8))</f>
        <v>3.1241124680488497E-2</v>
      </c>
      <c r="R36" s="243" t="s">
        <v>11</v>
      </c>
      <c r="S36" s="133">
        <v>7.9668372950133085E-2</v>
      </c>
      <c r="T36" s="124"/>
      <c r="U36" s="134"/>
      <c r="V36" s="143"/>
      <c r="W36" s="135">
        <v>6.2677744032138411E-2</v>
      </c>
    </row>
    <row r="37" spans="1:26" s="44" customFormat="1" ht="34.5" customHeight="1">
      <c r="A37" s="45" t="s">
        <v>106</v>
      </c>
      <c r="B37" s="45"/>
      <c r="C37" s="45"/>
      <c r="D37" s="184">
        <v>916</v>
      </c>
      <c r="E37" s="184">
        <v>916</v>
      </c>
      <c r="F37" s="184">
        <v>916</v>
      </c>
      <c r="G37" s="184">
        <v>916</v>
      </c>
      <c r="H37" s="184">
        <v>916</v>
      </c>
      <c r="I37" s="184">
        <v>916</v>
      </c>
      <c r="J37" s="184">
        <v>924</v>
      </c>
      <c r="K37" s="184">
        <v>916</v>
      </c>
      <c r="L37" s="184">
        <v>916</v>
      </c>
      <c r="M37" s="184">
        <v>916</v>
      </c>
      <c r="N37" s="184">
        <v>916</v>
      </c>
      <c r="O37" s="184">
        <v>916</v>
      </c>
      <c r="P37" s="138"/>
      <c r="Q37" s="139">
        <f t="shared" si="6"/>
        <v>11000</v>
      </c>
      <c r="R37" s="243" t="s">
        <v>11</v>
      </c>
      <c r="S37" s="53">
        <v>21400.12</v>
      </c>
      <c r="T37" s="51"/>
      <c r="U37" s="85">
        <f>+Q37-S37</f>
        <v>-10400.119999999999</v>
      </c>
      <c r="V37" s="143"/>
      <c r="W37" s="140">
        <v>17064.169999999998</v>
      </c>
    </row>
    <row r="38" spans="1:26" s="127" customFormat="1" ht="27" customHeight="1">
      <c r="A38" s="124"/>
      <c r="B38" s="124"/>
      <c r="C38" s="124"/>
      <c r="D38" s="141" t="str">
        <f t="shared" ref="D38:P38" si="17">IF((+D$7+D$8)=0," ",D39/(+D$7+D$8))</f>
        <v xml:space="preserve"> </v>
      </c>
      <c r="E38" s="141">
        <f t="shared" si="17"/>
        <v>0</v>
      </c>
      <c r="F38" s="141">
        <f t="shared" si="17"/>
        <v>0</v>
      </c>
      <c r="G38" s="141">
        <f t="shared" si="17"/>
        <v>0</v>
      </c>
      <c r="H38" s="141">
        <f t="shared" si="17"/>
        <v>0</v>
      </c>
      <c r="I38" s="141">
        <f t="shared" si="17"/>
        <v>0</v>
      </c>
      <c r="J38" s="141">
        <f t="shared" si="17"/>
        <v>0</v>
      </c>
      <c r="K38" s="141">
        <f t="shared" si="17"/>
        <v>0</v>
      </c>
      <c r="L38" s="141">
        <f t="shared" si="17"/>
        <v>0</v>
      </c>
      <c r="M38" s="141">
        <f t="shared" si="17"/>
        <v>0</v>
      </c>
      <c r="N38" s="141">
        <f t="shared" si="17"/>
        <v>0</v>
      </c>
      <c r="O38" s="141">
        <f t="shared" si="17"/>
        <v>0</v>
      </c>
      <c r="P38" s="147" t="str">
        <f t="shared" si="17"/>
        <v xml:space="preserve"> </v>
      </c>
      <c r="Q38" s="141">
        <f>IF((+Q$7+Q$8)=0," ",Q39/(+Q$7+Q$8))</f>
        <v>0</v>
      </c>
      <c r="R38" s="243" t="s">
        <v>11</v>
      </c>
      <c r="S38" s="133">
        <v>2.2336801742270537E-2</v>
      </c>
      <c r="T38" s="124"/>
      <c r="U38" s="134"/>
      <c r="V38" s="143"/>
      <c r="W38" s="135">
        <v>3.3183758927283896E-2</v>
      </c>
    </row>
    <row r="39" spans="1:26" s="153" customFormat="1" ht="33.75" customHeight="1">
      <c r="A39" s="268" t="s">
        <v>107</v>
      </c>
      <c r="B39" s="268"/>
      <c r="C39" s="268"/>
      <c r="D39" s="292">
        <v>0</v>
      </c>
      <c r="E39" s="292">
        <v>0</v>
      </c>
      <c r="F39" s="292">
        <v>0</v>
      </c>
      <c r="G39" s="292">
        <v>0</v>
      </c>
      <c r="H39" s="292">
        <v>0</v>
      </c>
      <c r="I39" s="292">
        <v>0</v>
      </c>
      <c r="J39" s="292">
        <v>0</v>
      </c>
      <c r="K39" s="292">
        <v>0</v>
      </c>
      <c r="L39" s="292">
        <v>0</v>
      </c>
      <c r="M39" s="292">
        <v>0</v>
      </c>
      <c r="N39" s="292">
        <v>0</v>
      </c>
      <c r="O39" s="292">
        <v>0</v>
      </c>
      <c r="P39" s="11"/>
      <c r="Q39" s="269">
        <f t="shared" si="6"/>
        <v>0</v>
      </c>
      <c r="R39" s="243" t="s">
        <v>11</v>
      </c>
      <c r="S39" s="425">
        <v>6000</v>
      </c>
      <c r="T39" s="138"/>
      <c r="U39" s="85">
        <f>+Q39-S39</f>
        <v>-6000</v>
      </c>
      <c r="V39" s="143"/>
      <c r="W39" s="420">
        <v>9034.36</v>
      </c>
    </row>
    <row r="40" spans="1:26" s="127" customFormat="1" ht="27" customHeight="1">
      <c r="B40" s="124"/>
      <c r="C40" s="124"/>
      <c r="D40" s="141" t="str">
        <f t="shared" ref="D40:O40" si="18">IF((+D$7+D$8)=0," ",D41/(+D$7+D$8))</f>
        <v xml:space="preserve"> </v>
      </c>
      <c r="E40" s="141">
        <f t="shared" si="18"/>
        <v>9.6153846153846159E-2</v>
      </c>
      <c r="F40" s="141">
        <f t="shared" si="18"/>
        <v>2.2522522522522521E-2</v>
      </c>
      <c r="G40" s="141">
        <f t="shared" si="18"/>
        <v>2.5974025974025976E-2</v>
      </c>
      <c r="H40" s="141">
        <f t="shared" si="18"/>
        <v>1.2345679012345678E-2</v>
      </c>
      <c r="I40" s="141">
        <f t="shared" si="18"/>
        <v>3.3422459893048127E-3</v>
      </c>
      <c r="J40" s="141">
        <f t="shared" si="18"/>
        <v>3.3156498673740055E-3</v>
      </c>
      <c r="K40" s="141">
        <f t="shared" si="18"/>
        <v>8.3798882681564244E-3</v>
      </c>
      <c r="L40" s="141">
        <f t="shared" si="18"/>
        <v>8.2352941176470594E-3</v>
      </c>
      <c r="M40" s="141">
        <f t="shared" si="18"/>
        <v>1.4772727272727272E-2</v>
      </c>
      <c r="N40" s="141">
        <f t="shared" si="18"/>
        <v>1.0729613733905579E-2</v>
      </c>
      <c r="O40" s="141">
        <f t="shared" si="18"/>
        <v>8.6206896551724144E-2</v>
      </c>
      <c r="P40" s="124"/>
      <c r="Q40" s="141">
        <f>IF((+Q$7+Q$8)=0," ",Q41/(+Q$7+Q$8))</f>
        <v>1.0508378301618859E-2</v>
      </c>
      <c r="R40" s="243" t="s">
        <v>11</v>
      </c>
      <c r="S40" s="133">
        <v>1.7295534501051691E-2</v>
      </c>
      <c r="T40" s="124"/>
      <c r="U40" s="134"/>
      <c r="V40" s="143"/>
      <c r="W40" s="135">
        <v>1.7176961412947382E-2</v>
      </c>
    </row>
    <row r="41" spans="1:26" s="44" customFormat="1" ht="35.1" customHeight="1">
      <c r="A41" s="270" t="s">
        <v>108</v>
      </c>
      <c r="B41" s="45"/>
      <c r="C41" s="45"/>
      <c r="D41" s="145">
        <v>200</v>
      </c>
      <c r="E41" s="145">
        <v>250</v>
      </c>
      <c r="F41" s="145">
        <v>250</v>
      </c>
      <c r="G41" s="145">
        <v>400</v>
      </c>
      <c r="H41" s="145">
        <v>300</v>
      </c>
      <c r="I41" s="145">
        <v>250</v>
      </c>
      <c r="J41" s="145">
        <v>250</v>
      </c>
      <c r="K41" s="145">
        <v>300</v>
      </c>
      <c r="L41" s="145">
        <v>350</v>
      </c>
      <c r="M41" s="145">
        <v>650</v>
      </c>
      <c r="N41" s="145">
        <v>250</v>
      </c>
      <c r="O41" s="145">
        <v>250</v>
      </c>
      <c r="P41" s="48"/>
      <c r="Q41" s="139">
        <f t="shared" si="6"/>
        <v>3700</v>
      </c>
      <c r="R41" s="243" t="s">
        <v>11</v>
      </c>
      <c r="S41" s="53">
        <v>4645.84</v>
      </c>
      <c r="T41" s="51"/>
      <c r="U41" s="85">
        <f>+Q41-S41</f>
        <v>-945.84000000000015</v>
      </c>
      <c r="V41" s="143"/>
      <c r="W41" s="140">
        <v>4676.47</v>
      </c>
    </row>
    <row r="42" spans="1:26" s="127" customFormat="1" ht="27" customHeight="1">
      <c r="A42" s="124"/>
      <c r="B42" s="124"/>
      <c r="C42" s="124"/>
      <c r="D42" s="141" t="str">
        <f t="shared" ref="D42:O42" si="19">IF((+D$7+D$8)=0," ",D43/(+D$7+D$8))</f>
        <v xml:space="preserve"> </v>
      </c>
      <c r="E42" s="141">
        <f t="shared" si="19"/>
        <v>5.7692307692307696E-2</v>
      </c>
      <c r="F42" s="141">
        <f t="shared" si="19"/>
        <v>1.3513513513513514E-2</v>
      </c>
      <c r="G42" s="141">
        <f t="shared" si="19"/>
        <v>1.2987012987012988E-2</v>
      </c>
      <c r="H42" s="141">
        <f t="shared" si="19"/>
        <v>6.1728395061728392E-3</v>
      </c>
      <c r="I42" s="141">
        <f t="shared" si="19"/>
        <v>2.0053475935828879E-3</v>
      </c>
      <c r="J42" s="141">
        <f t="shared" si="19"/>
        <v>3.3156498673740055E-3</v>
      </c>
      <c r="K42" s="141">
        <f t="shared" si="19"/>
        <v>4.1899441340782122E-3</v>
      </c>
      <c r="L42" s="141">
        <f t="shared" si="19"/>
        <v>5.8823529411764705E-3</v>
      </c>
      <c r="M42" s="141">
        <f t="shared" si="19"/>
        <v>3.4090909090909089E-3</v>
      </c>
      <c r="N42" s="141">
        <f t="shared" si="19"/>
        <v>8.5836909871244635E-3</v>
      </c>
      <c r="O42" s="141">
        <f t="shared" si="19"/>
        <v>5.1724137931034482E-2</v>
      </c>
      <c r="P42" s="124"/>
      <c r="Q42" s="141">
        <f>IF((+Q$7+Q$8)=0," ",Q43/(+Q$7+Q$8))</f>
        <v>5.9642147117296221E-3</v>
      </c>
      <c r="R42" s="243" t="s">
        <v>11</v>
      </c>
      <c r="S42" s="133">
        <v>3.2760642555330118E-3</v>
      </c>
      <c r="T42" s="124"/>
      <c r="U42" s="134"/>
      <c r="V42" s="143"/>
      <c r="W42" s="135">
        <v>2.2212838774716675E-3</v>
      </c>
    </row>
    <row r="43" spans="1:26" s="44" customFormat="1" ht="35.1" customHeight="1">
      <c r="A43" s="45" t="s">
        <v>109</v>
      </c>
      <c r="B43" s="45"/>
      <c r="C43" s="45"/>
      <c r="D43" s="145">
        <v>150</v>
      </c>
      <c r="E43" s="145">
        <v>150</v>
      </c>
      <c r="F43" s="145">
        <v>150</v>
      </c>
      <c r="G43" s="145">
        <v>200</v>
      </c>
      <c r="H43" s="145">
        <v>150</v>
      </c>
      <c r="I43" s="145">
        <v>150</v>
      </c>
      <c r="J43" s="145">
        <v>250</v>
      </c>
      <c r="K43" s="145">
        <v>150</v>
      </c>
      <c r="L43" s="145">
        <v>250</v>
      </c>
      <c r="M43" s="145">
        <v>150</v>
      </c>
      <c r="N43" s="145">
        <v>200</v>
      </c>
      <c r="O43" s="145">
        <v>150</v>
      </c>
      <c r="P43" s="48"/>
      <c r="Q43" s="139">
        <f t="shared" si="6"/>
        <v>2100</v>
      </c>
      <c r="R43" s="243" t="s">
        <v>11</v>
      </c>
      <c r="S43" s="53">
        <v>880</v>
      </c>
      <c r="T43" s="51"/>
      <c r="U43" s="85">
        <f>+Q43-S43</f>
        <v>1220</v>
      </c>
      <c r="V43" s="143"/>
      <c r="W43" s="140">
        <v>604.75</v>
      </c>
    </row>
    <row r="44" spans="1:26" s="127" customFormat="1" ht="27" customHeight="1">
      <c r="A44" s="124"/>
      <c r="B44" s="124"/>
      <c r="C44" s="124"/>
      <c r="D44" s="141" t="str">
        <f t="shared" ref="D44:O44" si="20">IF((+D$7+D$8)=0," ",D45/(+D$7+D$8))</f>
        <v xml:space="preserve"> </v>
      </c>
      <c r="E44" s="141">
        <f t="shared" si="20"/>
        <v>0.53846153846153844</v>
      </c>
      <c r="F44" s="141">
        <f t="shared" si="20"/>
        <v>3.6036036036036036E-2</v>
      </c>
      <c r="G44" s="141">
        <f t="shared" si="20"/>
        <v>6.4935064935064929E-2</v>
      </c>
      <c r="H44" s="141">
        <f t="shared" si="20"/>
        <v>0</v>
      </c>
      <c r="I44" s="141">
        <f t="shared" si="20"/>
        <v>8.021390374331551E-4</v>
      </c>
      <c r="J44" s="141">
        <f t="shared" si="20"/>
        <v>0</v>
      </c>
      <c r="K44" s="141" t="s">
        <v>60</v>
      </c>
      <c r="L44" s="141">
        <f t="shared" si="20"/>
        <v>9.4117647058823532E-4</v>
      </c>
      <c r="M44" s="141">
        <f t="shared" si="20"/>
        <v>2.2727272727272726E-3</v>
      </c>
      <c r="N44" s="141">
        <f t="shared" si="20"/>
        <v>4.2918454935622317E-2</v>
      </c>
      <c r="O44" s="141">
        <f t="shared" si="20"/>
        <v>0.34482758620689657</v>
      </c>
      <c r="P44" s="124"/>
      <c r="Q44" s="141">
        <f>IF((+Q$7+Q$8)=0," ",Q45/(+Q$7+Q$8))</f>
        <v>1.4484521442771939E-2</v>
      </c>
      <c r="R44" s="243" t="s">
        <v>11</v>
      </c>
      <c r="S44" s="133">
        <v>1.5710217225396943E-2</v>
      </c>
      <c r="T44" s="124"/>
      <c r="U44" s="134"/>
      <c r="V44" s="143"/>
      <c r="W44" s="135">
        <v>1.2736597494839902E-2</v>
      </c>
    </row>
    <row r="45" spans="1:26" s="44" customFormat="1" ht="35.1" customHeight="1">
      <c r="A45" s="45" t="s">
        <v>110</v>
      </c>
      <c r="B45" s="45"/>
      <c r="C45" s="45"/>
      <c r="D45" s="145">
        <v>100</v>
      </c>
      <c r="E45" s="145">
        <v>1400</v>
      </c>
      <c r="F45" s="145">
        <v>400</v>
      </c>
      <c r="G45" s="145">
        <v>1000</v>
      </c>
      <c r="H45" s="145">
        <f>'[1]Input Wrksht '!J23+'[1]Input Wrksht '!J29+'[1]Input Wrksht '!J19</f>
        <v>0</v>
      </c>
      <c r="I45" s="145">
        <v>60</v>
      </c>
      <c r="J45" s="145">
        <f>'[1]Input Wrksht '!L23+'[1]Input Wrksht '!L29+'[1]Input Wrksht '!L19</f>
        <v>0</v>
      </c>
      <c r="K45" s="145">
        <v>0</v>
      </c>
      <c r="L45" s="145">
        <v>40</v>
      </c>
      <c r="M45" s="145">
        <v>100</v>
      </c>
      <c r="N45" s="145">
        <v>1000</v>
      </c>
      <c r="O45" s="145">
        <v>1000</v>
      </c>
      <c r="P45" s="48"/>
      <c r="Q45" s="139">
        <f t="shared" si="6"/>
        <v>5100</v>
      </c>
      <c r="R45" s="243" t="s">
        <v>11</v>
      </c>
      <c r="S45" s="53">
        <v>4220</v>
      </c>
      <c r="T45" s="51"/>
      <c r="U45" s="85">
        <f>+Q45-S45</f>
        <v>880</v>
      </c>
      <c r="V45" s="143"/>
      <c r="W45" s="140">
        <v>3467.57</v>
      </c>
    </row>
    <row r="46" spans="1:26" s="127" customFormat="1" ht="27" customHeight="1">
      <c r="A46" s="124"/>
      <c r="B46" s="124"/>
      <c r="C46" s="124"/>
      <c r="D46" s="141" t="str">
        <f t="shared" ref="D46:O46" si="21">IF((+D$7+D$8)=0," ",D47/(+D$7+D$8))</f>
        <v xml:space="preserve"> </v>
      </c>
      <c r="E46" s="141">
        <f t="shared" si="21"/>
        <v>0</v>
      </c>
      <c r="F46" s="141">
        <f t="shared" si="21"/>
        <v>0</v>
      </c>
      <c r="G46" s="141">
        <f t="shared" si="21"/>
        <v>3.246753246753247E-3</v>
      </c>
      <c r="H46" s="141">
        <f t="shared" si="21"/>
        <v>2.6748971193415638E-2</v>
      </c>
      <c r="I46" s="141">
        <f t="shared" si="21"/>
        <v>0</v>
      </c>
      <c r="J46" s="141">
        <f t="shared" si="21"/>
        <v>0</v>
      </c>
      <c r="K46" s="141">
        <f t="shared" si="21"/>
        <v>0</v>
      </c>
      <c r="L46" s="141">
        <f t="shared" si="21"/>
        <v>0</v>
      </c>
      <c r="M46" s="141">
        <f t="shared" si="21"/>
        <v>6.3636363636363638E-3</v>
      </c>
      <c r="N46" s="141">
        <f t="shared" si="21"/>
        <v>0</v>
      </c>
      <c r="O46" s="141">
        <f t="shared" si="21"/>
        <v>6.8965517241379309E-3</v>
      </c>
      <c r="P46" s="124"/>
      <c r="Q46" s="141">
        <f>IF((+Q$7+Q$8)=0," ",Q47/(+Q$7+Q$8))</f>
        <v>2.8401022436807723E-3</v>
      </c>
      <c r="R46" s="243" t="s">
        <v>11</v>
      </c>
      <c r="S46" s="133">
        <v>1.1168400871135268E-4</v>
      </c>
      <c r="T46" s="124"/>
      <c r="U46" s="134"/>
      <c r="V46" s="143"/>
      <c r="W46" s="135">
        <v>9.1826534827270265E-5</v>
      </c>
    </row>
    <row r="47" spans="1:26" s="44" customFormat="1" ht="35.1" customHeight="1">
      <c r="A47" s="45" t="s">
        <v>111</v>
      </c>
      <c r="B47" s="45"/>
      <c r="C47" s="45"/>
      <c r="D47" s="184">
        <v>0</v>
      </c>
      <c r="E47" s="184">
        <v>0</v>
      </c>
      <c r="F47" s="184">
        <v>0</v>
      </c>
      <c r="G47" s="184">
        <v>50</v>
      </c>
      <c r="H47" s="184">
        <v>650</v>
      </c>
      <c r="I47" s="184">
        <f>'[1]Input Wrksht '!K31</f>
        <v>0</v>
      </c>
      <c r="J47" s="184">
        <f>'[1]Input Wrksht '!L31</f>
        <v>0</v>
      </c>
      <c r="K47" s="145">
        <v>0</v>
      </c>
      <c r="L47" s="145">
        <v>0</v>
      </c>
      <c r="M47" s="145">
        <v>280</v>
      </c>
      <c r="N47" s="145">
        <v>0</v>
      </c>
      <c r="O47" s="145">
        <v>20</v>
      </c>
      <c r="P47" s="48"/>
      <c r="Q47" s="139">
        <f t="shared" si="6"/>
        <v>1000</v>
      </c>
      <c r="R47" s="243" t="s">
        <v>11</v>
      </c>
      <c r="S47" s="53">
        <v>30</v>
      </c>
      <c r="T47" s="51"/>
      <c r="U47" s="85">
        <f>+Q47-S47</f>
        <v>970</v>
      </c>
      <c r="V47" s="143"/>
      <c r="W47" s="140">
        <v>25</v>
      </c>
    </row>
    <row r="48" spans="1:26" s="127" customFormat="1" ht="27" customHeight="1">
      <c r="A48" s="45"/>
      <c r="B48" s="45"/>
      <c r="C48" s="45"/>
      <c r="D48" s="155"/>
      <c r="E48" s="155"/>
      <c r="F48" s="155"/>
      <c r="G48" s="155"/>
      <c r="H48" s="155"/>
      <c r="I48" s="155"/>
      <c r="J48" s="155"/>
      <c r="K48" s="48"/>
      <c r="L48" s="48"/>
      <c r="M48" s="48"/>
      <c r="N48" s="48"/>
      <c r="O48" s="48"/>
      <c r="P48" s="48"/>
      <c r="Q48" s="132"/>
      <c r="R48" s="243" t="s">
        <v>11</v>
      </c>
      <c r="S48" s="156"/>
      <c r="T48" s="124"/>
      <c r="U48" s="134"/>
      <c r="V48" s="143"/>
      <c r="W48" s="156"/>
    </row>
    <row r="49" spans="1:23" s="44" customFormat="1" ht="35.1" customHeight="1" thickBot="1">
      <c r="A49" s="271"/>
      <c r="B49" s="62" t="s">
        <v>63</v>
      </c>
      <c r="C49" s="62"/>
      <c r="D49" s="293">
        <f>+D47+D45+D43+D41+D39+D37+D35+D33+D31+D29+D27+D25+D23+D21+D19</f>
        <v>15986</v>
      </c>
      <c r="E49" s="293">
        <f t="shared" ref="E49:O49" si="22">+E47+E45+E43+E41+E39+E37+E35+E33+E31+E29+E27+E25+E23+E21+E19</f>
        <v>18636</v>
      </c>
      <c r="F49" s="293">
        <f t="shared" si="22"/>
        <v>21846</v>
      </c>
      <c r="G49" s="293">
        <f t="shared" si="22"/>
        <v>23586</v>
      </c>
      <c r="H49" s="293">
        <f t="shared" si="22"/>
        <v>27466</v>
      </c>
      <c r="I49" s="293">
        <f t="shared" si="22"/>
        <v>49296</v>
      </c>
      <c r="J49" s="293">
        <f t="shared" si="22"/>
        <v>50304</v>
      </c>
      <c r="K49" s="293">
        <f t="shared" si="22"/>
        <v>35876</v>
      </c>
      <c r="L49" s="293">
        <f t="shared" si="22"/>
        <v>37076</v>
      </c>
      <c r="M49" s="293">
        <f t="shared" si="22"/>
        <v>37356</v>
      </c>
      <c r="N49" s="293">
        <f t="shared" si="22"/>
        <v>27836</v>
      </c>
      <c r="O49" s="293">
        <f t="shared" si="22"/>
        <v>19536</v>
      </c>
      <c r="P49" s="293" t="s">
        <v>11</v>
      </c>
      <c r="Q49" s="295">
        <f>+Q47+Q45+Q43+Q41+Q39+Q37+Q35+Q33+Q31+Q29+Q27+Q25+Q23+Q21+Q19</f>
        <v>364800</v>
      </c>
      <c r="R49" s="243" t="s">
        <v>11</v>
      </c>
      <c r="S49" s="70">
        <f>+S47+S45+S43+S41+S39+S37+S35+S33+S31+S29+S27+S25+S23+S21+S19+S17</f>
        <v>269800.44</v>
      </c>
      <c r="T49" s="124"/>
      <c r="U49" s="134"/>
      <c r="V49" s="143"/>
      <c r="W49" s="421">
        <f>+W47+W45+W43+W41+W39+W37+W35+W33+W31+W29+W27+W25+W23+W21+W19+W17</f>
        <v>281099.25</v>
      </c>
    </row>
    <row r="50" spans="1:23" s="51" customFormat="1" ht="27" thickTop="1">
      <c r="A50" s="56"/>
      <c r="B50" s="56"/>
      <c r="C50" s="56"/>
      <c r="D50" s="160">
        <v>0</v>
      </c>
      <c r="E50" s="161">
        <v>0</v>
      </c>
      <c r="F50" s="161">
        <v>0</v>
      </c>
      <c r="G50" s="161">
        <v>0</v>
      </c>
      <c r="H50" s="161">
        <v>0</v>
      </c>
      <c r="I50" s="161">
        <v>0</v>
      </c>
      <c r="J50" s="294">
        <f>SUM($D$49:J49)</f>
        <v>207120</v>
      </c>
      <c r="K50" s="161">
        <v>0</v>
      </c>
      <c r="L50" s="161">
        <v>0</v>
      </c>
      <c r="M50" s="161">
        <v>0</v>
      </c>
      <c r="N50" s="161">
        <v>0</v>
      </c>
      <c r="O50" s="161">
        <v>0</v>
      </c>
      <c r="P50" s="86"/>
      <c r="Q50" s="56"/>
      <c r="R50" s="243" t="s">
        <v>11</v>
      </c>
      <c r="S50" s="162"/>
      <c r="T50" s="124"/>
      <c r="U50" s="134"/>
      <c r="V50" s="143"/>
      <c r="W50" s="157"/>
    </row>
    <row r="51" spans="1:23" s="85" customFormat="1" ht="50.1" customHeight="1" thickBot="1">
      <c r="A51" s="272"/>
      <c r="B51" s="273" t="s">
        <v>65</v>
      </c>
      <c r="C51" s="274"/>
      <c r="D51" s="165">
        <f t="shared" ref="D51:O51" si="23">+D13-D49</f>
        <v>-15986</v>
      </c>
      <c r="E51" s="165">
        <f t="shared" si="23"/>
        <v>-16036</v>
      </c>
      <c r="F51" s="166">
        <f t="shared" si="23"/>
        <v>-10746</v>
      </c>
      <c r="G51" s="166">
        <f t="shared" si="23"/>
        <v>-7486</v>
      </c>
      <c r="H51" s="166">
        <f t="shared" si="23"/>
        <v>-666</v>
      </c>
      <c r="I51" s="166">
        <f t="shared" si="23"/>
        <v>28504</v>
      </c>
      <c r="J51" s="166">
        <f t="shared" si="23"/>
        <v>27596</v>
      </c>
      <c r="K51" s="166">
        <f t="shared" si="23"/>
        <v>1924</v>
      </c>
      <c r="L51" s="166">
        <f t="shared" si="23"/>
        <v>6424</v>
      </c>
      <c r="M51" s="166">
        <f t="shared" si="23"/>
        <v>7644</v>
      </c>
      <c r="N51" s="166">
        <f t="shared" si="23"/>
        <v>-4536</v>
      </c>
      <c r="O51" s="166">
        <f t="shared" si="23"/>
        <v>-16636</v>
      </c>
      <c r="P51" s="71"/>
      <c r="Q51" s="234">
        <f>+Q13-Q49</f>
        <v>0</v>
      </c>
      <c r="R51" s="243" t="s">
        <v>11</v>
      </c>
      <c r="S51" s="167">
        <f>+S13-S49</f>
        <v>-0.44000000000232831</v>
      </c>
      <c r="T51" s="124"/>
      <c r="U51" s="134"/>
      <c r="V51" s="143"/>
      <c r="W51" s="386">
        <f>+W13-W49</f>
        <v>0</v>
      </c>
    </row>
    <row r="52" spans="1:23" s="15" customFormat="1" ht="27" thickTop="1">
      <c r="A52" s="169"/>
      <c r="B52" s="169"/>
      <c r="C52" s="169"/>
      <c r="D52" s="170"/>
      <c r="E52" s="170"/>
      <c r="F52" s="171"/>
      <c r="G52" s="170"/>
      <c r="H52" s="170"/>
      <c r="I52" s="170"/>
      <c r="J52" s="170"/>
      <c r="K52" s="170"/>
      <c r="L52" s="170"/>
      <c r="M52" s="171"/>
      <c r="N52" s="172"/>
      <c r="O52" s="172"/>
      <c r="P52" s="172"/>
      <c r="Q52" s="172"/>
      <c r="R52" s="172"/>
      <c r="S52" s="162"/>
      <c r="T52" s="124"/>
      <c r="U52" s="134"/>
      <c r="V52" s="143"/>
      <c r="W52" s="163"/>
    </row>
    <row r="53" spans="1:23" s="85" customFormat="1" ht="49.5" customHeight="1" thickBot="1">
      <c r="A53" s="275"/>
      <c r="B53" s="276" t="s">
        <v>66</v>
      </c>
      <c r="C53" s="277"/>
      <c r="D53" s="171"/>
      <c r="E53" s="175">
        <f>+D51+E51</f>
        <v>-32022</v>
      </c>
      <c r="F53" s="175">
        <f>+E53+F51</f>
        <v>-42768</v>
      </c>
      <c r="G53" s="175">
        <f t="shared" ref="G53:N53" si="24">+F53+G51</f>
        <v>-50254</v>
      </c>
      <c r="H53" s="175">
        <f t="shared" si="24"/>
        <v>-50920</v>
      </c>
      <c r="I53" s="175">
        <f t="shared" si="24"/>
        <v>-22416</v>
      </c>
      <c r="J53" s="175">
        <f t="shared" si="24"/>
        <v>5180</v>
      </c>
      <c r="K53" s="175">
        <f t="shared" si="24"/>
        <v>7104</v>
      </c>
      <c r="L53" s="175">
        <f t="shared" si="24"/>
        <v>13528</v>
      </c>
      <c r="M53" s="175">
        <f t="shared" si="24"/>
        <v>21172</v>
      </c>
      <c r="N53" s="175">
        <f t="shared" si="24"/>
        <v>16636</v>
      </c>
      <c r="O53" s="234">
        <f>+N53+O51</f>
        <v>0</v>
      </c>
      <c r="P53" s="176"/>
      <c r="Q53" s="177"/>
      <c r="R53" s="171"/>
      <c r="S53" s="167">
        <f>S39+S51</f>
        <v>5999.5599999999977</v>
      </c>
      <c r="T53" s="124"/>
      <c r="U53" s="134"/>
      <c r="V53" s="143"/>
      <c r="W53" s="422">
        <f>W39+W51</f>
        <v>9034.36</v>
      </c>
    </row>
    <row r="54" spans="1:23" s="85" customFormat="1" ht="49.5" customHeight="1" thickTop="1">
      <c r="A54" s="171"/>
      <c r="B54" s="171"/>
      <c r="C54" s="171"/>
      <c r="D54" s="171"/>
      <c r="E54" s="175"/>
      <c r="F54" s="175"/>
      <c r="G54" s="175"/>
      <c r="H54" s="175"/>
      <c r="I54" s="175"/>
      <c r="J54" s="175"/>
      <c r="K54" s="171"/>
      <c r="L54" s="171"/>
      <c r="M54" s="171"/>
      <c r="N54" s="171"/>
      <c r="O54" s="171"/>
      <c r="P54" s="171"/>
      <c r="Q54" s="171"/>
      <c r="R54" s="171"/>
      <c r="S54" s="443"/>
      <c r="T54" s="124"/>
      <c r="U54" s="134"/>
      <c r="V54" s="143"/>
      <c r="W54" s="444"/>
    </row>
    <row r="55" spans="1:23" s="15" customFormat="1" ht="28.5" customHeight="1">
      <c r="A55" s="173"/>
      <c r="B55" s="174"/>
      <c r="C55" s="174"/>
      <c r="D55" s="171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8" t="s">
        <v>67</v>
      </c>
      <c r="P55" s="176"/>
      <c r="Q55" s="278">
        <f>+Q51+Q39</f>
        <v>0</v>
      </c>
      <c r="R55" s="171"/>
      <c r="S55" s="51"/>
      <c r="T55" s="124"/>
      <c r="U55" s="134"/>
      <c r="V55" s="143"/>
      <c r="W55" s="143"/>
    </row>
    <row r="56" spans="1:23" s="15" customFormat="1" ht="24.75" customHeight="1">
      <c r="A56" s="173"/>
      <c r="B56" s="173"/>
      <c r="C56" s="173"/>
      <c r="D56" s="173"/>
      <c r="E56" s="173"/>
      <c r="F56" s="173"/>
      <c r="G56" s="173"/>
      <c r="H56" s="173"/>
      <c r="I56" s="173"/>
      <c r="J56" s="173"/>
      <c r="K56" s="175"/>
      <c r="L56" s="175"/>
      <c r="M56" s="175"/>
      <c r="N56" s="173"/>
      <c r="O56" s="173"/>
      <c r="P56" s="173"/>
      <c r="Q56" s="173"/>
      <c r="R56" s="132"/>
      <c r="S56" s="173"/>
      <c r="T56" s="173"/>
      <c r="U56" s="51"/>
      <c r="V56" s="143"/>
      <c r="W56" s="143"/>
    </row>
    <row r="57" spans="1:23" s="15" customFormat="1" ht="27" customHeight="1">
      <c r="A57" s="173"/>
      <c r="E57" s="175"/>
      <c r="F57" s="175"/>
      <c r="G57" s="175"/>
      <c r="H57" s="175"/>
      <c r="I57" s="175"/>
      <c r="J57" s="175"/>
      <c r="K57" s="175"/>
      <c r="L57" s="175"/>
      <c r="M57" s="175"/>
      <c r="N57" s="173"/>
      <c r="O57" s="173"/>
      <c r="P57" s="173"/>
      <c r="Q57" s="173"/>
      <c r="R57" s="132"/>
      <c r="S57" s="51"/>
      <c r="T57" s="51"/>
      <c r="U57" s="51"/>
    </row>
    <row r="58" spans="1:23" s="15" customFormat="1" ht="27" customHeight="1">
      <c r="A58" s="173"/>
      <c r="E58" s="175"/>
      <c r="F58" s="175"/>
      <c r="G58" s="175"/>
      <c r="H58" s="175"/>
      <c r="I58" s="175"/>
      <c r="J58" s="175"/>
      <c r="K58" s="175"/>
      <c r="L58" s="175"/>
      <c r="M58" s="175"/>
      <c r="N58" s="173"/>
      <c r="O58" s="173"/>
      <c r="P58" s="11"/>
      <c r="Q58" s="173"/>
      <c r="R58" s="132"/>
      <c r="S58" s="51"/>
      <c r="T58" s="51"/>
      <c r="U58" s="51"/>
    </row>
    <row r="59" spans="1:23" s="15" customFormat="1">
      <c r="A59" s="173"/>
      <c r="G59" s="175"/>
      <c r="H59" s="175"/>
      <c r="I59" s="175"/>
      <c r="J59" s="175"/>
      <c r="K59" s="175"/>
      <c r="L59" s="175"/>
      <c r="M59" s="175"/>
      <c r="N59" s="173"/>
      <c r="O59" s="173"/>
      <c r="P59" s="11"/>
      <c r="Q59" s="173"/>
      <c r="R59" s="132"/>
      <c r="S59" s="51"/>
      <c r="T59" s="51"/>
      <c r="U59" s="51"/>
    </row>
    <row r="60" spans="1:23" s="15" customFormat="1">
      <c r="A60" s="173"/>
      <c r="B60" s="173"/>
      <c r="C60" s="173"/>
      <c r="D60" s="171"/>
      <c r="E60" s="171"/>
      <c r="F60" s="171"/>
      <c r="G60" s="175"/>
      <c r="H60" s="175"/>
      <c r="I60" s="175"/>
      <c r="J60" s="175"/>
      <c r="K60" s="175"/>
      <c r="L60" s="175"/>
      <c r="M60" s="175"/>
      <c r="N60" s="173"/>
      <c r="O60" s="173"/>
      <c r="P60" s="11"/>
      <c r="Q60" s="173"/>
      <c r="R60" s="132"/>
      <c r="S60" s="51"/>
      <c r="T60" s="51"/>
      <c r="U60" s="51"/>
    </row>
    <row r="61" spans="1:23" s="15" customFormat="1">
      <c r="A61" s="173"/>
      <c r="B61" s="173"/>
      <c r="C61" s="173"/>
      <c r="D61" s="171"/>
      <c r="E61" s="171"/>
      <c r="F61" s="171"/>
      <c r="G61" s="175"/>
      <c r="H61" s="175"/>
      <c r="I61" s="175"/>
      <c r="J61" s="175"/>
      <c r="K61" s="175"/>
      <c r="L61" s="175"/>
      <c r="M61" s="175"/>
      <c r="N61" s="173"/>
      <c r="O61" s="173"/>
      <c r="P61" s="11"/>
      <c r="Q61" s="173"/>
      <c r="R61" s="132"/>
      <c r="S61" s="51"/>
      <c r="T61" s="51"/>
      <c r="U61" s="51"/>
    </row>
    <row r="62" spans="1:23" s="15" customFormat="1">
      <c r="A62" s="173"/>
      <c r="B62" s="173"/>
      <c r="C62" s="173"/>
      <c r="D62" s="171"/>
      <c r="E62" s="171"/>
      <c r="F62" s="171"/>
      <c r="G62" s="175"/>
      <c r="H62" s="175"/>
      <c r="I62" s="175"/>
      <c r="J62" s="175"/>
      <c r="K62" s="175"/>
      <c r="L62" s="175"/>
      <c r="M62" s="175"/>
      <c r="N62" s="173"/>
      <c r="O62" s="173"/>
      <c r="P62" s="11"/>
      <c r="Q62" s="173"/>
      <c r="R62" s="132"/>
      <c r="S62" s="51"/>
      <c r="T62" s="51"/>
      <c r="U62" s="51"/>
    </row>
    <row r="63" spans="1:23" s="15" customFormat="1">
      <c r="A63" s="173"/>
      <c r="B63" s="173"/>
      <c r="C63" s="173"/>
      <c r="D63" s="171"/>
      <c r="E63" s="171"/>
      <c r="F63" s="171"/>
      <c r="G63" s="175"/>
      <c r="H63" s="175"/>
      <c r="I63" s="175"/>
      <c r="J63" s="175"/>
      <c r="K63" s="175"/>
      <c r="L63" s="175"/>
      <c r="M63" s="175"/>
      <c r="N63" s="173"/>
      <c r="O63" s="173"/>
      <c r="P63" s="11"/>
      <c r="Q63" s="173"/>
      <c r="R63" s="132"/>
      <c r="S63" s="51"/>
      <c r="T63" s="51"/>
      <c r="U63" s="51"/>
    </row>
    <row r="64" spans="1:23" s="15" customFormat="1" ht="28.5" customHeight="1">
      <c r="A64" s="173"/>
      <c r="B64" s="173"/>
      <c r="C64" s="173"/>
      <c r="D64" s="171"/>
      <c r="E64" s="171"/>
      <c r="F64" s="171"/>
      <c r="G64" s="175"/>
      <c r="H64" s="175"/>
      <c r="I64" s="175"/>
      <c r="J64" s="175"/>
      <c r="K64" s="175"/>
      <c r="L64" s="175"/>
      <c r="M64" s="175"/>
      <c r="N64" s="173"/>
      <c r="O64" s="173"/>
      <c r="P64" s="173"/>
      <c r="Q64" s="173"/>
      <c r="R64" s="132"/>
      <c r="S64" s="51"/>
      <c r="T64" s="51"/>
      <c r="U64" s="51"/>
    </row>
    <row r="65" spans="1:21" s="15" customFormat="1" ht="28.5" customHeight="1">
      <c r="A65" s="173"/>
      <c r="B65" s="173"/>
      <c r="C65" s="173"/>
      <c r="D65" s="171"/>
      <c r="E65" s="171"/>
      <c r="F65" s="171"/>
      <c r="G65" s="175"/>
      <c r="H65" s="175"/>
      <c r="I65" s="175"/>
      <c r="J65" s="175"/>
      <c r="K65" s="175"/>
      <c r="L65" s="175"/>
      <c r="M65" s="175"/>
      <c r="N65" s="173"/>
      <c r="O65" s="173"/>
      <c r="P65" s="173"/>
      <c r="Q65" s="173"/>
      <c r="R65" s="132"/>
      <c r="S65" s="51"/>
      <c r="T65" s="51"/>
      <c r="U65" s="51"/>
    </row>
    <row r="66" spans="1:21" s="15" customFormat="1" ht="28.5" customHeight="1">
      <c r="A66" s="182"/>
      <c r="B66" s="182"/>
      <c r="C66" s="182"/>
      <c r="D66" s="171"/>
      <c r="E66" s="171"/>
      <c r="F66" s="171"/>
      <c r="G66" s="175"/>
      <c r="H66" s="175"/>
      <c r="I66" s="175"/>
      <c r="J66" s="175"/>
      <c r="K66" s="175"/>
      <c r="L66" s="175"/>
      <c r="M66" s="175"/>
      <c r="N66" s="173"/>
      <c r="O66" s="173"/>
      <c r="P66" s="173"/>
      <c r="Q66" s="173"/>
      <c r="R66" s="132"/>
      <c r="S66" s="51"/>
      <c r="T66" s="51"/>
      <c r="U66" s="51"/>
    </row>
    <row r="67" spans="1:21" s="15" customFormat="1" ht="21" customHeight="1">
      <c r="A67" s="768" t="s">
        <v>11</v>
      </c>
      <c r="B67" s="768"/>
      <c r="C67" s="427"/>
      <c r="D67" s="171"/>
      <c r="E67" s="171"/>
      <c r="F67" s="171"/>
      <c r="G67" s="175"/>
      <c r="H67" s="175"/>
      <c r="I67" s="175"/>
      <c r="J67" s="175"/>
      <c r="K67" s="175"/>
      <c r="L67" s="175"/>
      <c r="M67" s="175"/>
      <c r="N67" s="173"/>
      <c r="O67" s="173"/>
      <c r="P67" s="173"/>
      <c r="Q67" s="173"/>
      <c r="R67" s="132"/>
      <c r="S67" s="51"/>
      <c r="T67" s="51"/>
      <c r="U67" s="51"/>
    </row>
    <row r="68" spans="1:21" s="15" customFormat="1" ht="21" customHeight="1">
      <c r="A68" s="176"/>
      <c r="B68" s="176"/>
      <c r="C68" s="176"/>
      <c r="D68" s="171"/>
      <c r="E68" s="171"/>
      <c r="F68" s="171"/>
      <c r="G68" s="175"/>
      <c r="H68" s="175"/>
      <c r="I68" s="175"/>
      <c r="J68" s="175"/>
      <c r="K68" s="175"/>
      <c r="L68" s="175"/>
      <c r="M68" s="175"/>
      <c r="N68" s="171"/>
      <c r="O68" s="171"/>
      <c r="P68" s="171"/>
      <c r="Q68" s="171"/>
      <c r="R68" s="132"/>
      <c r="S68" s="51"/>
      <c r="T68" s="51"/>
      <c r="U68" s="51"/>
    </row>
    <row r="69" spans="1:21" s="15" customFormat="1" ht="21" customHeight="1">
      <c r="A69" s="176"/>
      <c r="B69" s="176"/>
      <c r="C69" s="176"/>
      <c r="D69" s="171"/>
      <c r="E69" s="171"/>
      <c r="F69" s="171"/>
      <c r="G69" s="175"/>
      <c r="H69" s="175"/>
      <c r="I69" s="175"/>
      <c r="J69" s="175"/>
      <c r="K69" s="175"/>
      <c r="L69" s="175"/>
      <c r="M69" s="175"/>
      <c r="N69" s="171"/>
      <c r="O69" s="171"/>
      <c r="P69" s="171"/>
      <c r="Q69" s="171"/>
      <c r="R69" s="132"/>
      <c r="S69" s="51"/>
      <c r="T69" s="51"/>
      <c r="U69" s="51"/>
    </row>
    <row r="70" spans="1:21" s="15" customFormat="1" ht="27" customHeight="1">
      <c r="A70" s="176"/>
      <c r="B70" s="176"/>
      <c r="C70" s="176"/>
      <c r="D70" s="171"/>
      <c r="E70" s="171"/>
      <c r="F70" s="171"/>
      <c r="G70" s="175"/>
      <c r="H70" s="175"/>
      <c r="I70" s="175"/>
      <c r="J70" s="175"/>
      <c r="K70" s="175"/>
      <c r="L70" s="175"/>
      <c r="M70" s="175"/>
      <c r="N70" s="171"/>
      <c r="O70" s="171"/>
      <c r="P70" s="171"/>
      <c r="Q70" s="171"/>
      <c r="R70" s="171"/>
      <c r="S70" s="51"/>
      <c r="T70" s="51"/>
      <c r="U70" s="51"/>
    </row>
    <row r="71" spans="1:21" s="15" customFormat="1" ht="21" customHeight="1">
      <c r="A71" s="176"/>
      <c r="B71" s="176"/>
      <c r="C71" s="176"/>
      <c r="D71" s="171"/>
      <c r="E71" s="171"/>
      <c r="F71" s="171"/>
      <c r="G71" s="175"/>
      <c r="H71" s="175"/>
      <c r="I71" s="175"/>
      <c r="J71" s="175"/>
      <c r="K71" s="175"/>
      <c r="L71" s="175"/>
      <c r="M71" s="175"/>
      <c r="N71" s="171"/>
      <c r="O71" s="171"/>
      <c r="P71" s="171"/>
      <c r="Q71" s="171"/>
      <c r="R71" s="171"/>
      <c r="S71" s="51"/>
      <c r="T71" s="51"/>
      <c r="U71" s="51"/>
    </row>
    <row r="72" spans="1:21" s="15" customFormat="1" ht="21" customHeight="1">
      <c r="A72" s="176"/>
      <c r="B72" s="176"/>
      <c r="C72" s="176"/>
      <c r="D72" s="171"/>
      <c r="E72" s="171"/>
      <c r="F72" s="171"/>
      <c r="G72" s="175"/>
      <c r="H72" s="175"/>
      <c r="I72" s="175"/>
      <c r="J72" s="175"/>
      <c r="K72" s="175"/>
      <c r="L72" s="175"/>
      <c r="M72" s="175"/>
      <c r="N72" s="171"/>
      <c r="O72" s="171"/>
      <c r="P72" s="171"/>
      <c r="Q72" s="171"/>
      <c r="R72" s="171"/>
      <c r="S72" s="51"/>
      <c r="T72" s="51"/>
      <c r="U72" s="51"/>
    </row>
    <row r="73" spans="1:21" s="15" customFormat="1" ht="21" customHeight="1">
      <c r="A73" s="176"/>
      <c r="B73" s="176"/>
      <c r="C73" s="176"/>
      <c r="D73" s="171"/>
      <c r="E73" s="171"/>
      <c r="F73" s="171"/>
      <c r="G73" s="175"/>
      <c r="H73" s="175"/>
      <c r="I73" s="175"/>
      <c r="J73" s="175"/>
      <c r="K73" s="175"/>
      <c r="L73" s="175"/>
      <c r="M73" s="175"/>
      <c r="N73" s="171"/>
      <c r="O73" s="171"/>
      <c r="P73" s="171"/>
      <c r="Q73" s="171"/>
      <c r="R73" s="171"/>
      <c r="S73" s="51"/>
      <c r="T73" s="51"/>
      <c r="U73" s="51"/>
    </row>
    <row r="74" spans="1:21" s="15" customFormat="1" ht="21" customHeight="1">
      <c r="A74" s="176"/>
      <c r="B74" s="176"/>
      <c r="C74" s="176"/>
      <c r="D74" s="171"/>
      <c r="E74" s="171"/>
      <c r="F74" s="171"/>
      <c r="G74" s="175"/>
      <c r="H74" s="175"/>
      <c r="I74" s="175"/>
      <c r="J74" s="175"/>
      <c r="K74" s="175"/>
      <c r="L74" s="175"/>
      <c r="M74" s="175"/>
      <c r="N74" s="171"/>
      <c r="O74" s="171"/>
      <c r="P74" s="171"/>
      <c r="Q74" s="171"/>
      <c r="R74" s="171"/>
      <c r="S74" s="51"/>
      <c r="T74" s="51"/>
      <c r="U74" s="51"/>
    </row>
    <row r="75" spans="1:21" ht="21" customHeight="1">
      <c r="A75" s="15"/>
      <c r="B75" s="15"/>
      <c r="C75" s="15"/>
      <c r="D75" s="171"/>
      <c r="E75" s="171"/>
      <c r="F75" s="171"/>
      <c r="G75" s="175"/>
      <c r="H75" s="175"/>
      <c r="I75" s="175"/>
      <c r="J75" s="175"/>
      <c r="K75" s="175"/>
      <c r="L75" s="175"/>
      <c r="M75" s="175"/>
      <c r="N75" s="171"/>
      <c r="O75" s="171"/>
      <c r="P75" s="171"/>
      <c r="Q75" s="171"/>
      <c r="R75" s="171"/>
    </row>
    <row r="76" spans="1:21" ht="21" customHeight="1">
      <c r="A76" s="15"/>
      <c r="B76" s="15"/>
      <c r="C76" s="15"/>
      <c r="D76" s="171"/>
      <c r="E76" s="171"/>
      <c r="F76" s="171"/>
      <c r="G76" s="175"/>
      <c r="H76" s="175"/>
      <c r="I76" s="175"/>
      <c r="J76" s="175"/>
      <c r="K76" s="175"/>
      <c r="L76" s="175"/>
      <c r="M76" s="175"/>
      <c r="N76" s="171"/>
      <c r="O76" s="171"/>
      <c r="P76" s="171"/>
      <c r="Q76" s="171"/>
      <c r="R76" s="171"/>
    </row>
    <row r="77" spans="1:21" ht="21" customHeight="1">
      <c r="A77" s="15"/>
      <c r="B77" s="15"/>
      <c r="C77" s="15"/>
      <c r="G77" s="175"/>
      <c r="H77" s="175"/>
      <c r="I77" s="175"/>
      <c r="J77" s="175"/>
      <c r="K77" s="175"/>
      <c r="L77" s="175"/>
      <c r="M77" s="175"/>
    </row>
    <row r="78" spans="1:21" ht="15.75" customHeight="1">
      <c r="A78" s="15"/>
      <c r="B78" s="15"/>
      <c r="C78" s="15"/>
      <c r="G78" s="175"/>
      <c r="H78" s="175"/>
      <c r="I78" s="175"/>
      <c r="J78" s="175"/>
      <c r="K78" s="175"/>
      <c r="L78" s="175"/>
      <c r="M78" s="175"/>
    </row>
    <row r="79" spans="1:21">
      <c r="A79" s="15"/>
      <c r="B79" s="15"/>
      <c r="C79" s="15"/>
      <c r="G79" s="175"/>
      <c r="H79" s="175"/>
      <c r="I79" s="175"/>
      <c r="J79" s="175"/>
      <c r="K79" s="175"/>
      <c r="L79" s="175"/>
      <c r="M79" s="175"/>
    </row>
    <row r="80" spans="1:21">
      <c r="A80" s="15"/>
      <c r="B80" s="15"/>
      <c r="C80" s="15"/>
      <c r="G80" s="175"/>
      <c r="H80" s="175"/>
      <c r="I80" s="175"/>
      <c r="J80" s="175"/>
      <c r="K80" s="175"/>
      <c r="L80" s="175"/>
      <c r="M80" s="175"/>
    </row>
    <row r="81" spans="1:13">
      <c r="A81" s="15"/>
      <c r="B81" s="15"/>
      <c r="C81" s="15"/>
      <c r="G81" s="175"/>
      <c r="H81" s="175"/>
      <c r="I81" s="175"/>
      <c r="J81" s="175"/>
      <c r="K81" s="175"/>
      <c r="L81" s="175"/>
      <c r="M81" s="175"/>
    </row>
    <row r="82" spans="1:13">
      <c r="A82" s="15"/>
      <c r="B82" s="15"/>
      <c r="C82" s="15"/>
      <c r="G82" s="175"/>
      <c r="H82" s="175"/>
      <c r="I82" s="175"/>
      <c r="J82" s="175"/>
      <c r="K82" s="175"/>
      <c r="L82" s="175"/>
      <c r="M82" s="175"/>
    </row>
    <row r="83" spans="1:13">
      <c r="A83" s="15"/>
      <c r="B83" s="15"/>
      <c r="C83" s="15"/>
      <c r="G83" s="175"/>
      <c r="H83" s="175"/>
      <c r="I83" s="175"/>
      <c r="J83" s="175"/>
      <c r="K83" s="175"/>
      <c r="L83" s="175"/>
      <c r="M83" s="175"/>
    </row>
    <row r="84" spans="1:13">
      <c r="A84" s="15"/>
      <c r="B84" s="15"/>
      <c r="C84" s="15"/>
      <c r="G84" s="175"/>
      <c r="H84" s="175"/>
      <c r="I84" s="175"/>
      <c r="J84" s="175"/>
      <c r="K84" s="175"/>
      <c r="L84" s="175"/>
      <c r="M84" s="175"/>
    </row>
    <row r="85" spans="1:13">
      <c r="G85" s="175"/>
      <c r="H85" s="175"/>
      <c r="I85" s="175"/>
      <c r="J85" s="175"/>
      <c r="K85" s="175"/>
      <c r="L85" s="175"/>
      <c r="M85" s="175"/>
    </row>
    <row r="86" spans="1:13">
      <c r="G86" s="175"/>
      <c r="H86" s="175"/>
      <c r="I86" s="175"/>
      <c r="J86" s="175"/>
      <c r="K86" s="175"/>
      <c r="L86" s="175"/>
      <c r="M86" s="175"/>
    </row>
    <row r="87" spans="1:13">
      <c r="G87" s="175"/>
      <c r="H87" s="175"/>
      <c r="I87" s="175"/>
      <c r="J87" s="175"/>
      <c r="K87" s="175"/>
      <c r="L87" s="175"/>
      <c r="M87" s="175"/>
    </row>
    <row r="88" spans="1:13">
      <c r="G88" s="175"/>
      <c r="H88" s="175"/>
      <c r="I88" s="175"/>
      <c r="J88" s="175"/>
      <c r="K88" s="175"/>
      <c r="L88" s="175"/>
      <c r="M88" s="175"/>
    </row>
  </sheetData>
  <mergeCells count="5">
    <mergeCell ref="D1:Q1"/>
    <mergeCell ref="D2:Q2"/>
    <mergeCell ref="A67:B67"/>
    <mergeCell ref="I3:K3"/>
    <mergeCell ref="H4:M4"/>
  </mergeCells>
  <printOptions horizontalCentered="1"/>
  <pageMargins left="0.25" right="0.25" top="0.75" bottom="0.25" header="0.25" footer="0.1"/>
  <pageSetup scale="32" orientation="landscape" horizontalDpi="300" verticalDpi="300" r:id="rId1"/>
  <headerFooter alignWithMargins="0">
    <oddFooter>&amp;R&amp;"Arial,Regular"&amp;10Date: &amp;D</oddFooter>
  </headerFooter>
  <rowBreaks count="1" manualBreakCount="1">
    <brk id="51" max="16" man="1"/>
  </rowBreaks>
  <colBreaks count="1" manualBreakCount="1">
    <brk id="9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71561-82C6-4FC2-9F21-EE81C8AEB63D}">
  <sheetPr syncVertical="1" syncRef="A7" transitionEvaluation="1">
    <tabColor rgb="FF00B050"/>
    <pageSetUpPr fitToPage="1"/>
  </sheetPr>
  <dimension ref="A1:Z89"/>
  <sheetViews>
    <sheetView zoomScale="46" zoomScaleNormal="46" workbookViewId="0">
      <pane ySplit="6" topLeftCell="A7" activePane="bottomLeft" state="frozen"/>
      <selection pane="bottomLeft" activeCell="R6" sqref="R6"/>
    </sheetView>
  </sheetViews>
  <sheetFormatPr defaultColWidth="7.77734375" defaultRowHeight="26.25"/>
  <cols>
    <col min="1" max="1" width="11.44140625" style="22" customWidth="1"/>
    <col min="2" max="2" width="35.21875" style="22" customWidth="1"/>
    <col min="3" max="3" width="15.21875" style="22" customWidth="1"/>
    <col min="4" max="15" width="18.21875" style="22" customWidth="1"/>
    <col min="16" max="16" width="4" style="15" customWidth="1"/>
    <col min="17" max="17" width="19.21875" style="22" customWidth="1"/>
    <col min="18" max="18" width="30.77734375" style="22" customWidth="1"/>
    <col min="19" max="19" width="23.77734375" style="44" hidden="1" customWidth="1"/>
    <col min="20" max="20" width="1.77734375" style="44" customWidth="1"/>
    <col min="21" max="21" width="20.44140625" style="44" hidden="1" customWidth="1"/>
    <col min="22" max="22" width="1.88671875" style="22" customWidth="1"/>
    <col min="23" max="23" width="19.6640625" style="22" hidden="1" customWidth="1"/>
    <col min="24" max="24" width="2.33203125" style="22" customWidth="1"/>
    <col min="25" max="25" width="7.77734375" style="22" customWidth="1"/>
    <col min="26" max="26" width="11" style="22" bestFit="1" customWidth="1"/>
    <col min="27" max="16384" width="7.77734375" style="22"/>
  </cols>
  <sheetData>
    <row r="1" spans="1:23" s="5" customFormat="1" ht="50.45" customHeight="1">
      <c r="A1" s="211" t="s">
        <v>0</v>
      </c>
      <c r="B1" s="212"/>
      <c r="C1" s="2"/>
      <c r="D1" s="777" t="s">
        <v>113</v>
      </c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3"/>
      <c r="S1" s="3"/>
      <c r="T1" s="4"/>
      <c r="U1" s="4"/>
    </row>
    <row r="2" spans="1:23" s="5" customFormat="1" ht="44.45" customHeight="1" thickBot="1">
      <c r="A2" s="213" t="s">
        <v>11</v>
      </c>
      <c r="B2" s="287" t="s">
        <v>6</v>
      </c>
      <c r="C2" s="215" t="s">
        <v>11</v>
      </c>
      <c r="D2" s="745" t="s">
        <v>144</v>
      </c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746"/>
      <c r="R2" s="8"/>
      <c r="S2" s="8"/>
      <c r="T2" s="4"/>
      <c r="U2" s="4"/>
    </row>
    <row r="3" spans="1:23" s="5" customFormat="1" ht="32.25" customHeight="1" thickBot="1">
      <c r="A3" s="216" t="s">
        <v>78</v>
      </c>
      <c r="B3" s="217"/>
      <c r="C3" s="218"/>
      <c r="D3" s="11"/>
      <c r="E3" s="219" t="s">
        <v>5</v>
      </c>
      <c r="F3" s="13" t="s">
        <v>6</v>
      </c>
      <c r="G3" s="14" t="s">
        <v>7</v>
      </c>
      <c r="H3"/>
      <c r="I3" s="778" t="s">
        <v>145</v>
      </c>
      <c r="J3" s="778"/>
      <c r="K3" s="778"/>
      <c r="L3" s="431" t="s">
        <v>11</v>
      </c>
      <c r="M3"/>
      <c r="N3" s="17"/>
      <c r="O3" s="11"/>
      <c r="P3" s="11"/>
      <c r="Q3" s="18"/>
      <c r="R3" s="8"/>
      <c r="S3" s="424" t="s">
        <v>10</v>
      </c>
      <c r="T3" s="220"/>
      <c r="U3" s="220"/>
      <c r="V3" s="220"/>
      <c r="W3" s="417" t="s">
        <v>140</v>
      </c>
    </row>
    <row r="4" spans="1:23" s="5" customFormat="1" ht="27.75" customHeight="1">
      <c r="A4" s="426" t="s">
        <v>143</v>
      </c>
      <c r="B4" s="279">
        <v>44118</v>
      </c>
      <c r="C4" s="280" t="s">
        <v>112</v>
      </c>
      <c r="D4" s="11"/>
      <c r="E4" s="11"/>
      <c r="F4" s="22"/>
      <c r="G4" s="22"/>
      <c r="H4" s="779" t="s">
        <v>142</v>
      </c>
      <c r="I4" s="780"/>
      <c r="J4" s="780"/>
      <c r="K4" s="780"/>
      <c r="L4" s="780"/>
      <c r="M4" s="780"/>
      <c r="N4" s="428"/>
      <c r="O4" s="236"/>
      <c r="P4" s="11"/>
      <c r="Q4" s="429">
        <v>2021</v>
      </c>
      <c r="R4" s="8"/>
      <c r="S4" s="221" t="s">
        <v>141</v>
      </c>
      <c r="T4" s="220"/>
      <c r="U4" s="220"/>
      <c r="V4" s="220"/>
      <c r="W4" s="419">
        <v>2018</v>
      </c>
    </row>
    <row r="5" spans="1:23" ht="30.75" customHeight="1" thickBot="1">
      <c r="A5" s="15"/>
      <c r="B5" s="223" t="s">
        <v>11</v>
      </c>
      <c r="C5" s="223"/>
      <c r="D5" s="439" t="s">
        <v>146</v>
      </c>
      <c r="E5" s="439" t="s">
        <v>146</v>
      </c>
      <c r="F5" s="439" t="s">
        <v>146</v>
      </c>
      <c r="G5" s="439" t="s">
        <v>146</v>
      </c>
      <c r="H5" s="439" t="s">
        <v>146</v>
      </c>
      <c r="I5" s="439" t="s">
        <v>146</v>
      </c>
      <c r="J5" s="439" t="s">
        <v>146</v>
      </c>
      <c r="K5" s="439" t="s">
        <v>146</v>
      </c>
      <c r="L5" s="439" t="s">
        <v>146</v>
      </c>
      <c r="M5" s="439" t="s">
        <v>146</v>
      </c>
      <c r="N5" s="439" t="s">
        <v>146</v>
      </c>
      <c r="O5" s="439" t="s">
        <v>146</v>
      </c>
      <c r="P5" s="237"/>
      <c r="Q5" s="430" t="s">
        <v>6</v>
      </c>
      <c r="R5" s="225"/>
      <c r="S5" s="224" t="s">
        <v>81</v>
      </c>
      <c r="T5" s="225"/>
      <c r="U5" s="225"/>
      <c r="V5" s="225"/>
      <c r="W5" s="226" t="s">
        <v>14</v>
      </c>
    </row>
    <row r="6" spans="1:23" s="5" customFormat="1" ht="52.5">
      <c r="A6" s="34" t="s">
        <v>15</v>
      </c>
      <c r="B6" s="34"/>
      <c r="C6" s="34"/>
      <c r="D6" s="288" t="s">
        <v>82</v>
      </c>
      <c r="E6" s="288" t="s">
        <v>83</v>
      </c>
      <c r="F6" s="288" t="s">
        <v>84</v>
      </c>
      <c r="G6" s="288" t="s">
        <v>85</v>
      </c>
      <c r="H6" s="288" t="s">
        <v>20</v>
      </c>
      <c r="I6" s="36" t="s">
        <v>21</v>
      </c>
      <c r="J6" s="288" t="s">
        <v>22</v>
      </c>
      <c r="K6" s="227" t="s">
        <v>23</v>
      </c>
      <c r="L6" s="227" t="s">
        <v>24</v>
      </c>
      <c r="M6" s="227" t="s">
        <v>25</v>
      </c>
      <c r="N6" s="227" t="s">
        <v>26</v>
      </c>
      <c r="O6" s="227" t="s">
        <v>27</v>
      </c>
      <c r="P6" s="11"/>
      <c r="Q6" s="238" t="s">
        <v>148</v>
      </c>
      <c r="R6" s="239"/>
      <c r="S6" s="40" t="s">
        <v>29</v>
      </c>
      <c r="T6" s="41"/>
      <c r="U6" s="42" t="s">
        <v>30</v>
      </c>
      <c r="W6" s="418" t="s">
        <v>29</v>
      </c>
    </row>
    <row r="7" spans="1:23" s="44" customFormat="1" ht="34.5" customHeight="1">
      <c r="A7" s="240" t="s">
        <v>89</v>
      </c>
      <c r="B7" s="241"/>
      <c r="C7" s="240"/>
      <c r="D7" s="228">
        <v>0</v>
      </c>
      <c r="E7" s="228">
        <v>1100</v>
      </c>
      <c r="F7" s="228">
        <v>4900</v>
      </c>
      <c r="G7" s="228">
        <v>6800</v>
      </c>
      <c r="H7" s="228">
        <v>10500</v>
      </c>
      <c r="I7" s="228">
        <v>32000</v>
      </c>
      <c r="J7" s="228">
        <v>32000</v>
      </c>
      <c r="K7" s="228">
        <v>14800</v>
      </c>
      <c r="L7" s="228">
        <v>18000</v>
      </c>
      <c r="M7" s="228">
        <v>19000</v>
      </c>
      <c r="N7" s="228">
        <v>9800</v>
      </c>
      <c r="O7" s="228">
        <v>1100</v>
      </c>
      <c r="P7" s="229"/>
      <c r="Q7" s="230">
        <f t="shared" ref="Q7:Q11" si="0">SUM(D7:O7)</f>
        <v>150000</v>
      </c>
      <c r="R7" s="243" t="s">
        <v>11</v>
      </c>
      <c r="S7" s="50">
        <v>128800</v>
      </c>
      <c r="T7" s="51"/>
      <c r="U7" s="51">
        <f>+Q7-S7</f>
        <v>21200</v>
      </c>
      <c r="W7" s="52">
        <v>122561.35</v>
      </c>
    </row>
    <row r="8" spans="1:23" s="44" customFormat="1" ht="35.1" customHeight="1">
      <c r="A8" s="240" t="s">
        <v>90</v>
      </c>
      <c r="B8" s="241"/>
      <c r="C8" s="240"/>
      <c r="D8" s="228">
        <v>0</v>
      </c>
      <c r="E8" s="228">
        <v>1500</v>
      </c>
      <c r="F8" s="228">
        <v>6200</v>
      </c>
      <c r="G8" s="228">
        <v>8600</v>
      </c>
      <c r="H8" s="228">
        <v>13800</v>
      </c>
      <c r="I8" s="228">
        <v>42800</v>
      </c>
      <c r="J8" s="228">
        <v>43400</v>
      </c>
      <c r="K8" s="228">
        <v>21000</v>
      </c>
      <c r="L8" s="228">
        <v>24500</v>
      </c>
      <c r="M8" s="228">
        <v>25000</v>
      </c>
      <c r="N8" s="228">
        <v>13500</v>
      </c>
      <c r="O8" s="228">
        <v>1800</v>
      </c>
      <c r="P8" s="229"/>
      <c r="Q8" s="230">
        <f t="shared" si="0"/>
        <v>202100</v>
      </c>
      <c r="R8" s="243" t="s">
        <v>11</v>
      </c>
      <c r="S8" s="50">
        <v>139815</v>
      </c>
      <c r="T8" s="51"/>
      <c r="U8" s="51">
        <f t="shared" ref="U8:U11" si="1">+Q8-S8</f>
        <v>62285</v>
      </c>
      <c r="W8" s="52">
        <v>149691.10999999999</v>
      </c>
    </row>
    <row r="9" spans="1:23" s="44" customFormat="1" ht="35.1" customHeight="1">
      <c r="A9" s="240" t="s">
        <v>91</v>
      </c>
      <c r="B9" s="241"/>
      <c r="C9" s="240"/>
      <c r="D9" s="228">
        <v>0</v>
      </c>
      <c r="E9" s="228">
        <v>0</v>
      </c>
      <c r="F9" s="228">
        <v>0</v>
      </c>
      <c r="G9" s="228">
        <v>0</v>
      </c>
      <c r="H9" s="228">
        <v>0</v>
      </c>
      <c r="I9" s="228">
        <v>0</v>
      </c>
      <c r="J9" s="228">
        <v>0</v>
      </c>
      <c r="K9" s="228">
        <v>0</v>
      </c>
      <c r="L9" s="228">
        <v>0</v>
      </c>
      <c r="M9" s="228">
        <v>0</v>
      </c>
      <c r="N9" s="244">
        <v>0</v>
      </c>
      <c r="O9" s="242">
        <v>0</v>
      </c>
      <c r="P9" s="229"/>
      <c r="Q9" s="230">
        <f t="shared" si="0"/>
        <v>0</v>
      </c>
      <c r="R9" s="243" t="s">
        <v>11</v>
      </c>
      <c r="S9" s="50">
        <v>0</v>
      </c>
      <c r="T9" s="51"/>
      <c r="U9" s="51">
        <f t="shared" si="1"/>
        <v>0</v>
      </c>
      <c r="W9" s="52">
        <v>0</v>
      </c>
    </row>
    <row r="10" spans="1:23" s="44" customFormat="1" ht="34.5" customHeight="1">
      <c r="A10" s="240" t="s">
        <v>92</v>
      </c>
      <c r="B10" s="241"/>
      <c r="C10" s="240"/>
      <c r="D10" s="228">
        <v>0</v>
      </c>
      <c r="E10" s="228">
        <v>0</v>
      </c>
      <c r="F10" s="228">
        <v>0</v>
      </c>
      <c r="G10" s="228">
        <v>700</v>
      </c>
      <c r="H10" s="228">
        <v>2500</v>
      </c>
      <c r="I10" s="228">
        <v>3000</v>
      </c>
      <c r="J10" s="228">
        <v>2500</v>
      </c>
      <c r="K10" s="228">
        <v>2000</v>
      </c>
      <c r="L10" s="228">
        <v>1000</v>
      </c>
      <c r="M10" s="228">
        <v>1000</v>
      </c>
      <c r="N10" s="228">
        <v>0</v>
      </c>
      <c r="O10" s="228">
        <v>0</v>
      </c>
      <c r="P10" s="229"/>
      <c r="Q10" s="230">
        <f t="shared" si="0"/>
        <v>12700</v>
      </c>
      <c r="R10" s="243" t="s">
        <v>11</v>
      </c>
      <c r="S10" s="50">
        <v>1185</v>
      </c>
      <c r="T10" s="51"/>
      <c r="U10" s="51">
        <f t="shared" si="1"/>
        <v>11515</v>
      </c>
      <c r="W10" s="52">
        <v>7493.75</v>
      </c>
    </row>
    <row r="11" spans="1:23" s="44" customFormat="1" ht="35.1" customHeight="1">
      <c r="A11" s="45" t="s">
        <v>93</v>
      </c>
      <c r="B11" s="241"/>
      <c r="C11" s="240"/>
      <c r="D11" s="228">
        <v>0</v>
      </c>
      <c r="E11" s="228">
        <v>0</v>
      </c>
      <c r="F11" s="228">
        <v>0</v>
      </c>
      <c r="G11" s="228">
        <v>0</v>
      </c>
      <c r="H11" s="228">
        <f>'[1]Input Wrksht '!J10</f>
        <v>0</v>
      </c>
      <c r="I11" s="228">
        <f>'[1]Input Wrksht '!K10</f>
        <v>0</v>
      </c>
      <c r="J11" s="228">
        <f>'[1]Input Wrksht '!L10</f>
        <v>0</v>
      </c>
      <c r="K11" s="228">
        <v>0</v>
      </c>
      <c r="L11" s="228">
        <v>0</v>
      </c>
      <c r="M11" s="228">
        <v>0</v>
      </c>
      <c r="N11" s="244">
        <v>0</v>
      </c>
      <c r="O11" s="242">
        <v>0</v>
      </c>
      <c r="P11" s="229"/>
      <c r="Q11" s="230">
        <f t="shared" si="0"/>
        <v>0</v>
      </c>
      <c r="R11" s="243" t="s">
        <v>11</v>
      </c>
      <c r="S11" s="50">
        <v>0</v>
      </c>
      <c r="T11" s="51"/>
      <c r="U11" s="51">
        <f t="shared" si="1"/>
        <v>0</v>
      </c>
      <c r="W11" s="52">
        <v>1353.04</v>
      </c>
    </row>
    <row r="12" spans="1:23" s="44" customFormat="1" ht="35.1" customHeight="1">
      <c r="A12" s="22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 t="s">
        <v>11</v>
      </c>
      <c r="R12" s="243" t="s">
        <v>11</v>
      </c>
      <c r="S12" s="56" t="s">
        <v>11</v>
      </c>
      <c r="T12" s="51"/>
      <c r="U12" s="56" t="s">
        <v>11</v>
      </c>
      <c r="V12" s="56" t="s">
        <v>11</v>
      </c>
      <c r="W12" s="56" t="s">
        <v>11</v>
      </c>
    </row>
    <row r="13" spans="1:23" ht="25.5" customHeight="1" thickBot="1">
      <c r="A13" s="4"/>
      <c r="B13" s="62" t="s">
        <v>37</v>
      </c>
      <c r="C13" s="62"/>
      <c r="D13" s="289">
        <f t="shared" ref="D13:N13" si="2">SUM(D7:D12)</f>
        <v>0</v>
      </c>
      <c r="E13" s="289">
        <f t="shared" si="2"/>
        <v>2600</v>
      </c>
      <c r="F13" s="289">
        <f t="shared" si="2"/>
        <v>11100</v>
      </c>
      <c r="G13" s="289">
        <f t="shared" si="2"/>
        <v>16100</v>
      </c>
      <c r="H13" s="245">
        <f t="shared" si="2"/>
        <v>26800</v>
      </c>
      <c r="I13" s="245">
        <f t="shared" si="2"/>
        <v>77800</v>
      </c>
      <c r="J13" s="245">
        <f t="shared" si="2"/>
        <v>77900</v>
      </c>
      <c r="K13" s="245">
        <f t="shared" si="2"/>
        <v>37800</v>
      </c>
      <c r="L13" s="245">
        <f t="shared" si="2"/>
        <v>43500</v>
      </c>
      <c r="M13" s="245">
        <f t="shared" si="2"/>
        <v>45000</v>
      </c>
      <c r="N13" s="245">
        <f t="shared" si="2"/>
        <v>23300</v>
      </c>
      <c r="O13" s="246">
        <f>SUM(O7:O11)</f>
        <v>2900</v>
      </c>
      <c r="P13" s="229"/>
      <c r="Q13" s="231">
        <f>SUM(Q7:Q11)</f>
        <v>364800</v>
      </c>
      <c r="R13" s="243" t="s">
        <v>11</v>
      </c>
      <c r="S13" s="283">
        <f>SUM(S7:S11)</f>
        <v>269800</v>
      </c>
      <c r="T13" s="51"/>
      <c r="U13" s="64">
        <f>SUM(U7:U12)</f>
        <v>95000</v>
      </c>
      <c r="V13" s="4"/>
      <c r="W13" s="72">
        <f>SUM(W7:W11)</f>
        <v>281099.24999999994</v>
      </c>
    </row>
    <row r="14" spans="1:23" s="4" customFormat="1" ht="19.149999999999999" customHeight="1" thickTop="1">
      <c r="A14" s="247"/>
      <c r="B14" s="432"/>
      <c r="C14" s="433"/>
      <c r="D14" s="434"/>
      <c r="E14" s="434"/>
      <c r="F14" s="434"/>
      <c r="G14" s="434"/>
      <c r="H14" s="434"/>
      <c r="I14" s="435"/>
      <c r="J14" s="434"/>
      <c r="K14" s="434"/>
      <c r="L14" s="434"/>
      <c r="M14" s="434"/>
      <c r="N14" s="434"/>
      <c r="O14" s="434"/>
      <c r="P14" s="436"/>
      <c r="Q14" s="437"/>
      <c r="R14" s="243" t="s">
        <v>11</v>
      </c>
      <c r="S14" s="243" t="s">
        <v>11</v>
      </c>
      <c r="T14" s="243" t="s">
        <v>11</v>
      </c>
      <c r="U14" s="243" t="s">
        <v>11</v>
      </c>
      <c r="V14" s="243" t="s">
        <v>11</v>
      </c>
      <c r="W14" s="243" t="s">
        <v>11</v>
      </c>
    </row>
    <row r="15" spans="1:23" ht="30" customHeight="1">
      <c r="A15" s="111" t="s">
        <v>86</v>
      </c>
      <c r="B15" s="233"/>
      <c r="C15" s="233"/>
      <c r="D15" s="99">
        <v>35</v>
      </c>
      <c r="E15" s="99">
        <v>35</v>
      </c>
      <c r="F15" s="99">
        <v>35</v>
      </c>
      <c r="G15" s="99">
        <v>35</v>
      </c>
      <c r="H15" s="99"/>
      <c r="I15" s="99"/>
      <c r="J15" s="99"/>
      <c r="K15" s="99"/>
      <c r="L15" s="99"/>
      <c r="M15" s="99"/>
      <c r="N15" s="99"/>
      <c r="O15" s="257"/>
      <c r="P15" s="11"/>
      <c r="Q15" s="441"/>
      <c r="R15" s="256" t="s">
        <v>11</v>
      </c>
      <c r="S15" s="284">
        <v>4300</v>
      </c>
      <c r="T15" s="85"/>
      <c r="U15" s="22"/>
    </row>
    <row r="16" spans="1:23" ht="18.600000000000001" customHeight="1">
      <c r="A16" s="252"/>
      <c r="B16" s="281"/>
      <c r="C16" s="282"/>
      <c r="D16" s="290"/>
      <c r="E16" s="290"/>
      <c r="F16" s="290"/>
      <c r="G16" s="290"/>
      <c r="H16" s="290"/>
      <c r="I16" s="290"/>
      <c r="J16" s="291"/>
      <c r="K16" s="290"/>
      <c r="L16" s="290"/>
      <c r="M16" s="290"/>
      <c r="N16" s="290"/>
      <c r="O16" s="290"/>
      <c r="P16" s="258"/>
      <c r="S16" s="22"/>
      <c r="T16" s="95"/>
      <c r="U16" s="92" t="s">
        <v>11</v>
      </c>
      <c r="W16" s="423">
        <v>4692</v>
      </c>
    </row>
    <row r="17" spans="1:26" s="105" customFormat="1" ht="54.6" customHeight="1">
      <c r="A17" s="261" t="s">
        <v>42</v>
      </c>
      <c r="B17" s="119"/>
      <c r="C17" s="119"/>
      <c r="D17" s="120"/>
      <c r="E17" s="456"/>
      <c r="F17" s="456"/>
      <c r="G17" s="56"/>
      <c r="H17" s="56"/>
      <c r="I17" s="56"/>
      <c r="J17" s="56"/>
      <c r="K17" s="56"/>
      <c r="L17" s="56"/>
      <c r="M17" s="56"/>
      <c r="N17" s="457">
        <f>O17/SUM(Q7:Q8)</f>
        <v>0.23998863959102529</v>
      </c>
      <c r="O17" s="458">
        <f>SUM(Q19:Q20)</f>
        <v>84500</v>
      </c>
      <c r="P17" s="229"/>
      <c r="Q17" s="238" t="s">
        <v>147</v>
      </c>
      <c r="R17" s="243" t="s">
        <v>11</v>
      </c>
      <c r="S17" s="40" t="s">
        <v>44</v>
      </c>
      <c r="T17" s="108"/>
      <c r="U17" s="42" t="s">
        <v>30</v>
      </c>
      <c r="V17" s="5"/>
      <c r="W17" s="126" t="s">
        <v>43</v>
      </c>
    </row>
    <row r="18" spans="1:26" s="105" customFormat="1" ht="31.5" customHeight="1">
      <c r="A18" s="451"/>
      <c r="C18" s="452">
        <v>0.16854935893005121</v>
      </c>
      <c r="D18" s="455" t="str">
        <f t="shared" ref="D18" si="3">IF((+D$7+D$8)=0," ",D19/(+D$7+D$8))</f>
        <v xml:space="preserve"> </v>
      </c>
      <c r="E18" s="262">
        <f>IF((+E$7+E$8)=0," ",(E19+E20)/(+E$7+E$8))</f>
        <v>1.3461538461538463</v>
      </c>
      <c r="F18" s="262">
        <f t="shared" ref="F18:O18" si="4">IF((+F$7+F$8)=0," ",(F19+F20)/(+F$7+F$8))</f>
        <v>0.31531531531531531</v>
      </c>
      <c r="G18" s="262">
        <f t="shared" si="4"/>
        <v>0.27207792207792209</v>
      </c>
      <c r="H18" s="262">
        <f t="shared" si="4"/>
        <v>0.24650205761316873</v>
      </c>
      <c r="I18" s="262">
        <f t="shared" si="4"/>
        <v>0.19505347593582889</v>
      </c>
      <c r="J18" s="262">
        <f t="shared" si="4"/>
        <v>0.19376657824933688</v>
      </c>
      <c r="K18" s="262">
        <f t="shared" si="4"/>
        <v>0.21927374301675978</v>
      </c>
      <c r="L18" s="262">
        <f t="shared" si="4"/>
        <v>0.20729411764705882</v>
      </c>
      <c r="M18" s="262">
        <f t="shared" si="4"/>
        <v>0.2059090909090909</v>
      </c>
      <c r="N18" s="262">
        <f t="shared" si="4"/>
        <v>0.23175965665236051</v>
      </c>
      <c r="O18" s="262">
        <f t="shared" si="4"/>
        <v>1.2068965517241379</v>
      </c>
      <c r="P18" s="11"/>
      <c r="Q18" s="263">
        <f>IF((+Q$7+Q$8)=0," ",Q19/(+Q$7+Q$8))</f>
        <v>0.11928429423459244</v>
      </c>
      <c r="R18" s="243" t="s">
        <v>11</v>
      </c>
      <c r="S18" s="286">
        <v>0.2400089347206969</v>
      </c>
      <c r="T18" s="118"/>
      <c r="U18" s="134"/>
      <c r="V18" s="127"/>
      <c r="W18" s="135">
        <v>0.2399999985307755</v>
      </c>
      <c r="Z18" s="445" t="s">
        <v>120</v>
      </c>
    </row>
    <row r="19" spans="1:26" s="5" customFormat="1" ht="27">
      <c r="A19" s="453" t="s">
        <v>149</v>
      </c>
      <c r="B19" s="453"/>
      <c r="C19" s="265"/>
      <c r="D19" s="266">
        <v>3500</v>
      </c>
      <c r="E19" s="266">
        <v>3500</v>
      </c>
      <c r="F19" s="266">
        <v>3500</v>
      </c>
      <c r="G19" s="266">
        <v>3500</v>
      </c>
      <c r="H19" s="266">
        <v>3500</v>
      </c>
      <c r="I19" s="266">
        <v>3500</v>
      </c>
      <c r="J19" s="266">
        <v>3500</v>
      </c>
      <c r="K19" s="266">
        <v>3500</v>
      </c>
      <c r="L19" s="266">
        <v>3500</v>
      </c>
      <c r="M19" s="266">
        <v>3500</v>
      </c>
      <c r="N19" s="266">
        <v>3500</v>
      </c>
      <c r="O19" s="266">
        <v>3500</v>
      </c>
      <c r="P19" s="267"/>
      <c r="Q19" s="459">
        <f>SUM(D19:O19)</f>
        <v>42000</v>
      </c>
      <c r="R19" s="243" t="s">
        <v>11</v>
      </c>
      <c r="S19" s="425">
        <v>64470</v>
      </c>
      <c r="T19" s="125"/>
      <c r="U19" s="85">
        <f>+Q19-S19</f>
        <v>-22470</v>
      </c>
      <c r="V19" s="4"/>
      <c r="W19" s="140">
        <v>65340.590000000004</v>
      </c>
      <c r="Z19" s="442">
        <f>SUM(Q7:Q8)*0.24</f>
        <v>84504</v>
      </c>
    </row>
    <row r="20" spans="1:26" s="5" customFormat="1" ht="27">
      <c r="A20" s="453" t="s">
        <v>150</v>
      </c>
      <c r="B20" s="453"/>
      <c r="C20" s="265"/>
      <c r="D20" s="454">
        <v>0</v>
      </c>
      <c r="E20" s="454">
        <v>0</v>
      </c>
      <c r="F20" s="454">
        <v>0</v>
      </c>
      <c r="G20" s="447">
        <f>ROUND((G13-12000)*$C$18,-1)</f>
        <v>690</v>
      </c>
      <c r="H20" s="447">
        <f t="shared" ref="H20:N20" si="5">ROUND((H13-12000)*$C$18,-1)</f>
        <v>2490</v>
      </c>
      <c r="I20" s="447">
        <f t="shared" si="5"/>
        <v>11090</v>
      </c>
      <c r="J20" s="447">
        <f t="shared" si="5"/>
        <v>11110</v>
      </c>
      <c r="K20" s="447">
        <f t="shared" si="5"/>
        <v>4350</v>
      </c>
      <c r="L20" s="447">
        <f t="shared" si="5"/>
        <v>5310</v>
      </c>
      <c r="M20" s="447">
        <f t="shared" si="5"/>
        <v>5560</v>
      </c>
      <c r="N20" s="447">
        <f t="shared" si="5"/>
        <v>1900</v>
      </c>
      <c r="O20" s="454">
        <v>0</v>
      </c>
      <c r="P20" s="267"/>
      <c r="Q20" s="459">
        <f>SUM(D20:O20)</f>
        <v>42500</v>
      </c>
      <c r="R20" s="243"/>
      <c r="S20" s="448"/>
      <c r="T20" s="125"/>
      <c r="U20" s="85"/>
      <c r="V20" s="4"/>
      <c r="W20" s="449"/>
      <c r="Z20" s="450"/>
    </row>
    <row r="21" spans="1:26" s="127" customFormat="1" ht="27" customHeight="1">
      <c r="A21" s="124"/>
      <c r="B21" s="124"/>
      <c r="C21" s="124"/>
      <c r="D21" s="141" t="str">
        <f t="shared" ref="D21:O21" si="6">IF((+D$7+D$8)=0," ",(+D22+D23)/(+D$7+D$8))</f>
        <v xml:space="preserve"> </v>
      </c>
      <c r="E21" s="141">
        <f t="shared" si="6"/>
        <v>1.5385961538461539</v>
      </c>
      <c r="F21" s="141">
        <f t="shared" si="6"/>
        <v>0.40543743743743749</v>
      </c>
      <c r="G21" s="141">
        <f t="shared" si="6"/>
        <v>0.33768606393606393</v>
      </c>
      <c r="H21" s="141">
        <f t="shared" si="6"/>
        <v>0.2469286694101509</v>
      </c>
      <c r="I21" s="141">
        <f t="shared" si="6"/>
        <v>0.1149779256311404</v>
      </c>
      <c r="J21" s="141">
        <f t="shared" si="6"/>
        <v>0.12202052819743973</v>
      </c>
      <c r="K21" s="141">
        <f>IF((+K$7+K$8)=0," ",(+K22+K23)/(+K$7+K$8))</f>
        <v>0.22906049870554573</v>
      </c>
      <c r="L21" s="141">
        <f t="shared" si="6"/>
        <v>0.2000083044982699</v>
      </c>
      <c r="M21" s="141">
        <f t="shared" si="6"/>
        <v>0.19318983957219252</v>
      </c>
      <c r="N21" s="141">
        <f t="shared" si="6"/>
        <v>0.19744075387199103</v>
      </c>
      <c r="O21" s="141">
        <f t="shared" si="6"/>
        <v>1.724262068965517</v>
      </c>
      <c r="P21" s="124"/>
      <c r="Q21" s="141">
        <f>IF((+Q$7+Q$8)=0," ",(+Q22+Q23)/(+Q$7+Q$8))</f>
        <v>0.21442873506360136</v>
      </c>
      <c r="R21" s="243" t="s">
        <v>11</v>
      </c>
      <c r="S21" s="142">
        <v>0.27628896990844576</v>
      </c>
      <c r="T21" s="124"/>
      <c r="U21" s="134"/>
      <c r="V21" s="143"/>
      <c r="W21" s="135">
        <v>0.3238987876545148</v>
      </c>
    </row>
    <row r="22" spans="1:26" s="4" customFormat="1" ht="35.1" customHeight="1">
      <c r="A22" s="240" t="s">
        <v>98</v>
      </c>
      <c r="B22" s="45"/>
      <c r="C22" s="45"/>
      <c r="D22" s="145">
        <v>3200</v>
      </c>
      <c r="E22" s="145">
        <v>4000</v>
      </c>
      <c r="F22" s="145">
        <v>4500</v>
      </c>
      <c r="G22" s="145">
        <v>5200</v>
      </c>
      <c r="H22" s="145">
        <v>6000</v>
      </c>
      <c r="I22" s="145">
        <v>8600</v>
      </c>
      <c r="J22" s="145">
        <v>9200</v>
      </c>
      <c r="K22" s="145">
        <v>8200</v>
      </c>
      <c r="L22" s="145">
        <v>8500</v>
      </c>
      <c r="M22" s="145">
        <v>8500</v>
      </c>
      <c r="N22" s="145">
        <v>4600</v>
      </c>
      <c r="O22" s="145">
        <v>5000</v>
      </c>
      <c r="P22" s="48"/>
      <c r="Q22" s="139">
        <f t="shared" ref="Q22:Q48" si="7">SUM(D22:O22)</f>
        <v>75500</v>
      </c>
      <c r="R22" s="243" t="s">
        <v>11</v>
      </c>
      <c r="S22" s="53">
        <v>74215</v>
      </c>
      <c r="T22" s="85"/>
      <c r="U22" s="85">
        <f>+Q22-S22</f>
        <v>1285</v>
      </c>
      <c r="V22" s="143"/>
      <c r="W22" s="140">
        <v>88181.959999999992</v>
      </c>
    </row>
    <row r="23" spans="1:26" s="127" customFormat="1" ht="27" customHeight="1">
      <c r="A23" s="124"/>
      <c r="B23" s="124"/>
      <c r="C23" s="124"/>
      <c r="D23" s="141">
        <f t="shared" ref="D23:Q23" si="8">IF(+D$22=0," ",D24/+D$22)</f>
        <v>0.375</v>
      </c>
      <c r="E23" s="141">
        <f t="shared" si="8"/>
        <v>0.35</v>
      </c>
      <c r="F23" s="141">
        <f t="shared" si="8"/>
        <v>0.35555555555555557</v>
      </c>
      <c r="G23" s="141">
        <f t="shared" si="8"/>
        <v>0.36538461538461536</v>
      </c>
      <c r="H23" s="141">
        <f t="shared" si="8"/>
        <v>0.36666666666666664</v>
      </c>
      <c r="I23" s="141">
        <f t="shared" si="8"/>
        <v>0.34883720930232559</v>
      </c>
      <c r="J23" s="141">
        <f t="shared" si="8"/>
        <v>0.34782608695652173</v>
      </c>
      <c r="K23" s="141">
        <f t="shared" si="8"/>
        <v>0.36585365853658536</v>
      </c>
      <c r="L23" s="141">
        <f t="shared" si="8"/>
        <v>0.35294117647058826</v>
      </c>
      <c r="M23" s="141">
        <f t="shared" si="8"/>
        <v>0.35294117647058826</v>
      </c>
      <c r="N23" s="141">
        <f t="shared" si="8"/>
        <v>0.36956521739130432</v>
      </c>
      <c r="O23" s="141">
        <f t="shared" si="8"/>
        <v>0.36</v>
      </c>
      <c r="P23" s="147"/>
      <c r="Q23" s="141">
        <f t="shared" si="8"/>
        <v>0.35761589403973509</v>
      </c>
      <c r="R23" s="243" t="s">
        <v>11</v>
      </c>
      <c r="S23" s="133">
        <v>0.36165195715151921</v>
      </c>
      <c r="T23" s="124"/>
      <c r="U23" s="134"/>
      <c r="V23" s="143"/>
      <c r="W23" s="135">
        <v>0.28172995927965311</v>
      </c>
    </row>
    <row r="24" spans="1:26" s="44" customFormat="1" ht="34.5" customHeight="1">
      <c r="A24" s="45" t="s">
        <v>99</v>
      </c>
      <c r="B24" s="45"/>
      <c r="C24" s="45"/>
      <c r="D24" s="145">
        <v>1200</v>
      </c>
      <c r="E24" s="145">
        <v>1400</v>
      </c>
      <c r="F24" s="145">
        <v>1600</v>
      </c>
      <c r="G24" s="145">
        <v>1900</v>
      </c>
      <c r="H24" s="145">
        <v>2200</v>
      </c>
      <c r="I24" s="145">
        <v>3000</v>
      </c>
      <c r="J24" s="145">
        <v>3200</v>
      </c>
      <c r="K24" s="145">
        <v>3000</v>
      </c>
      <c r="L24" s="145">
        <v>3000</v>
      </c>
      <c r="M24" s="145">
        <v>3000</v>
      </c>
      <c r="N24" s="145">
        <v>1700</v>
      </c>
      <c r="O24" s="145">
        <v>1800</v>
      </c>
      <c r="P24" s="48"/>
      <c r="Q24" s="139">
        <f t="shared" si="7"/>
        <v>27000</v>
      </c>
      <c r="R24" s="243" t="s">
        <v>11</v>
      </c>
      <c r="S24" s="53">
        <v>26840</v>
      </c>
      <c r="T24" s="51"/>
      <c r="U24" s="85">
        <f>+Q24-S24</f>
        <v>160</v>
      </c>
      <c r="V24" s="143"/>
      <c r="W24" s="140">
        <v>24843.499999999996</v>
      </c>
    </row>
    <row r="25" spans="1:26" s="127" customFormat="1" ht="27" customHeight="1">
      <c r="A25" s="124"/>
      <c r="B25" s="124"/>
      <c r="C25" s="124"/>
      <c r="D25" s="141" t="str">
        <f t="shared" ref="D25:O25" si="9">IF((+D$7+D$8)=0," ",D26/(+D$7+D$8))</f>
        <v xml:space="preserve"> </v>
      </c>
      <c r="E25" s="141">
        <f t="shared" si="9"/>
        <v>6.9230769230769235E-2</v>
      </c>
      <c r="F25" s="141">
        <f t="shared" si="9"/>
        <v>0</v>
      </c>
      <c r="G25" s="141">
        <f t="shared" si="9"/>
        <v>0</v>
      </c>
      <c r="H25" s="141">
        <f t="shared" si="9"/>
        <v>0</v>
      </c>
      <c r="I25" s="141">
        <f t="shared" si="9"/>
        <v>2.6737967914438501E-3</v>
      </c>
      <c r="J25" s="141">
        <f t="shared" si="9"/>
        <v>3.4482758620689655E-3</v>
      </c>
      <c r="K25" s="141">
        <f t="shared" si="9"/>
        <v>0</v>
      </c>
      <c r="L25" s="141">
        <f t="shared" si="9"/>
        <v>0</v>
      </c>
      <c r="M25" s="141">
        <f t="shared" si="9"/>
        <v>4.0909090909090912E-3</v>
      </c>
      <c r="N25" s="141">
        <f t="shared" si="9"/>
        <v>1.201716738197425E-2</v>
      </c>
      <c r="O25" s="141">
        <f t="shared" si="9"/>
        <v>0</v>
      </c>
      <c r="P25" s="124"/>
      <c r="Q25" s="141">
        <f>IF((+Q$7+Q$8)=0," ",(+Q26+Q27)/(+Q$7+Q$8))</f>
        <v>3.1247107829215181E-3</v>
      </c>
      <c r="R25" s="243" t="s">
        <v>11</v>
      </c>
      <c r="S25" s="133">
        <v>2.6045455391545519E-3</v>
      </c>
      <c r="T25" s="124"/>
      <c r="U25" s="134"/>
      <c r="V25" s="143"/>
      <c r="W25" s="135">
        <v>4.482934699653403E-3</v>
      </c>
    </row>
    <row r="26" spans="1:26" s="44" customFormat="1" ht="35.1" customHeight="1">
      <c r="A26" s="45" t="s">
        <v>100</v>
      </c>
      <c r="B26" s="45"/>
      <c r="C26" s="45"/>
      <c r="D26" s="145">
        <v>0</v>
      </c>
      <c r="E26" s="145">
        <v>180</v>
      </c>
      <c r="F26" s="145">
        <v>0</v>
      </c>
      <c r="G26" s="145">
        <v>0</v>
      </c>
      <c r="H26" s="145">
        <v>0</v>
      </c>
      <c r="I26" s="145">
        <v>200</v>
      </c>
      <c r="J26" s="145">
        <v>260</v>
      </c>
      <c r="K26" s="145">
        <v>0</v>
      </c>
      <c r="L26" s="145">
        <v>0</v>
      </c>
      <c r="M26" s="145">
        <v>180</v>
      </c>
      <c r="N26" s="145">
        <v>280</v>
      </c>
      <c r="O26" s="145">
        <v>0</v>
      </c>
      <c r="P26" s="48"/>
      <c r="Q26" s="139">
        <f t="shared" si="7"/>
        <v>1100</v>
      </c>
      <c r="R26" s="243" t="s">
        <v>11</v>
      </c>
      <c r="S26" s="53">
        <v>699.62</v>
      </c>
      <c r="T26" s="51"/>
      <c r="U26" s="85">
        <f>+Q26-S26</f>
        <v>400.38</v>
      </c>
      <c r="V26" s="143"/>
      <c r="W26" s="140">
        <v>1220.49</v>
      </c>
    </row>
    <row r="27" spans="1:26" s="127" customFormat="1" ht="27" customHeight="1">
      <c r="A27" s="124"/>
      <c r="B27" s="124"/>
      <c r="C27" s="124"/>
      <c r="D27" s="141" t="str">
        <f t="shared" ref="D27:O27" si="10">IF(+D$7=0," ",D28/+D$7)</f>
        <v xml:space="preserve"> </v>
      </c>
      <c r="E27" s="141">
        <f t="shared" si="10"/>
        <v>0.36363636363636365</v>
      </c>
      <c r="F27" s="141">
        <f t="shared" si="10"/>
        <v>0.2857142857142857</v>
      </c>
      <c r="G27" s="141">
        <f t="shared" si="10"/>
        <v>0.17647058823529413</v>
      </c>
      <c r="H27" s="141">
        <f t="shared" si="10"/>
        <v>0.20952380952380953</v>
      </c>
      <c r="I27" s="141">
        <f t="shared" si="10"/>
        <v>0.203125</v>
      </c>
      <c r="J27" s="141">
        <f t="shared" si="10"/>
        <v>0.21875</v>
      </c>
      <c r="K27" s="141">
        <f t="shared" si="10"/>
        <v>0.20270270270270271</v>
      </c>
      <c r="L27" s="141">
        <f t="shared" si="10"/>
        <v>0.22222222222222221</v>
      </c>
      <c r="M27" s="141">
        <f t="shared" si="10"/>
        <v>0.18947368421052632</v>
      </c>
      <c r="N27" s="141">
        <f t="shared" si="10"/>
        <v>0.21428571428571427</v>
      </c>
      <c r="O27" s="141">
        <f t="shared" si="10"/>
        <v>0.18181818181818182</v>
      </c>
      <c r="P27" s="124"/>
      <c r="Q27" s="438">
        <f>IF(+Q$7=0," ",Q28/+Q$7)</f>
        <v>0.21066666666666667</v>
      </c>
      <c r="R27" s="243" t="s">
        <v>11</v>
      </c>
      <c r="S27" s="133">
        <v>0.1513975155279503</v>
      </c>
      <c r="T27" s="124"/>
      <c r="U27" s="134"/>
      <c r="V27" s="143"/>
      <c r="W27" s="135">
        <v>0.16528367221803611</v>
      </c>
    </row>
    <row r="28" spans="1:26" s="44" customFormat="1" ht="35.1" customHeight="1">
      <c r="A28" s="45" t="s">
        <v>101</v>
      </c>
      <c r="B28" s="45"/>
      <c r="C28" s="45"/>
      <c r="D28" s="145">
        <v>0</v>
      </c>
      <c r="E28" s="145">
        <v>400</v>
      </c>
      <c r="F28" s="145">
        <v>1400</v>
      </c>
      <c r="G28" s="145">
        <v>1200</v>
      </c>
      <c r="H28" s="145">
        <v>2200</v>
      </c>
      <c r="I28" s="145">
        <v>6500</v>
      </c>
      <c r="J28" s="145">
        <v>7000</v>
      </c>
      <c r="K28" s="145">
        <v>3000</v>
      </c>
      <c r="L28" s="145">
        <v>4000</v>
      </c>
      <c r="M28" s="145">
        <v>3600</v>
      </c>
      <c r="N28" s="145">
        <v>2100</v>
      </c>
      <c r="O28" s="145">
        <v>200</v>
      </c>
      <c r="P28" s="48"/>
      <c r="Q28" s="139">
        <f t="shared" si="7"/>
        <v>31600</v>
      </c>
      <c r="R28" s="243" t="s">
        <v>11</v>
      </c>
      <c r="S28" s="53">
        <v>19500</v>
      </c>
      <c r="T28" s="51"/>
      <c r="U28" s="85">
        <f>+Q28-S28</f>
        <v>12100</v>
      </c>
      <c r="V28" s="143"/>
      <c r="W28" s="140">
        <v>20257.39</v>
      </c>
      <c r="Y28" s="127"/>
    </row>
    <row r="29" spans="1:26" s="127" customFormat="1" ht="27" customHeight="1">
      <c r="A29" s="124"/>
      <c r="B29" s="124"/>
      <c r="C29" s="124"/>
      <c r="D29" s="141" t="str">
        <f t="shared" ref="D29:O29" si="11">IF((+D$7+D$8)=0," ",D30/(+D$7+D$8))</f>
        <v xml:space="preserve"> </v>
      </c>
      <c r="E29" s="141">
        <f t="shared" si="11"/>
        <v>0.11538461538461539</v>
      </c>
      <c r="F29" s="141">
        <f t="shared" si="11"/>
        <v>4.5045045045045045E-3</v>
      </c>
      <c r="G29" s="141">
        <f t="shared" si="11"/>
        <v>0</v>
      </c>
      <c r="H29" s="141">
        <f t="shared" si="11"/>
        <v>4.11522633744856E-3</v>
      </c>
      <c r="I29" s="141">
        <f t="shared" si="11"/>
        <v>6.6844919786096253E-4</v>
      </c>
      <c r="J29" s="141">
        <f t="shared" si="11"/>
        <v>1.3262599469496021E-3</v>
      </c>
      <c r="K29" s="141">
        <f t="shared" si="11"/>
        <v>2.7932960893854749E-3</v>
      </c>
      <c r="L29" s="141">
        <f t="shared" si="11"/>
        <v>0</v>
      </c>
      <c r="M29" s="141">
        <f t="shared" si="11"/>
        <v>0</v>
      </c>
      <c r="N29" s="141">
        <f t="shared" si="11"/>
        <v>4.2918454935622317E-3</v>
      </c>
      <c r="O29" s="141">
        <f t="shared" si="11"/>
        <v>0</v>
      </c>
      <c r="P29" s="124"/>
      <c r="Q29" s="141">
        <f t="shared" ref="Q29" si="12">IF(+Q$22=0," ",Q30/+Q$22)</f>
        <v>1.0596026490066225E-2</v>
      </c>
      <c r="R29" s="243" t="s">
        <v>11</v>
      </c>
      <c r="S29" s="133">
        <v>4.5418163542616753E-3</v>
      </c>
      <c r="T29" s="124"/>
      <c r="U29" s="134"/>
      <c r="V29" s="143"/>
      <c r="W29" s="135">
        <v>5.7311144222535219E-3</v>
      </c>
    </row>
    <row r="30" spans="1:26" s="44" customFormat="1" ht="35.1" customHeight="1">
      <c r="A30" s="45" t="s">
        <v>102</v>
      </c>
      <c r="B30" s="45"/>
      <c r="C30" s="45"/>
      <c r="D30" s="145">
        <v>0</v>
      </c>
      <c r="E30" s="145">
        <v>300</v>
      </c>
      <c r="F30" s="145">
        <v>50</v>
      </c>
      <c r="G30" s="145">
        <v>0</v>
      </c>
      <c r="H30" s="145">
        <v>100</v>
      </c>
      <c r="I30" s="145">
        <v>50</v>
      </c>
      <c r="J30" s="145">
        <v>100</v>
      </c>
      <c r="K30" s="145">
        <v>100</v>
      </c>
      <c r="L30" s="145">
        <v>0</v>
      </c>
      <c r="M30" s="145">
        <v>0</v>
      </c>
      <c r="N30" s="145">
        <v>100</v>
      </c>
      <c r="O30" s="145">
        <v>0</v>
      </c>
      <c r="P30" s="48"/>
      <c r="Q30" s="139">
        <f t="shared" si="7"/>
        <v>800</v>
      </c>
      <c r="R30" s="243" t="s">
        <v>11</v>
      </c>
      <c r="S30" s="53">
        <v>1220</v>
      </c>
      <c r="T30" s="51"/>
      <c r="U30" s="85">
        <f>+Q30-S30</f>
        <v>-420</v>
      </c>
      <c r="V30" s="143"/>
      <c r="W30" s="140">
        <v>1560.31</v>
      </c>
    </row>
    <row r="31" spans="1:26" s="127" customFormat="1" ht="27" customHeight="1">
      <c r="A31" s="124"/>
      <c r="B31" s="148"/>
      <c r="C31" s="148"/>
      <c r="D31" s="141" t="str">
        <f>IF((+D$7+D$8)=0," ",D32/(+D$7+D$8))</f>
        <v xml:space="preserve"> </v>
      </c>
      <c r="E31" s="141">
        <f>IF((+E$7+E$8)=0," ",E32/(+E$7+E$8))</f>
        <v>1.2307692307692308</v>
      </c>
      <c r="F31" s="141">
        <f>IF((+F$7+F$8)=0," ",F32/(+F$7+F$8))</f>
        <v>0.28828828828828829</v>
      </c>
      <c r="G31" s="141">
        <f>IF((+G$7+G$8)=0," ",G32/(+G$7+G$8))</f>
        <v>0.20779220779220781</v>
      </c>
      <c r="H31" s="141">
        <f>IF((+H$7+H$8)=0," ",H32/(+H$7+H$8))</f>
        <v>0.13168724279835392</v>
      </c>
      <c r="I31" s="141">
        <f>IF((O34+I$7+I$8)=0," ",I32/(+I$7+I$8))</f>
        <v>6.684491978609626E-2</v>
      </c>
      <c r="J31" s="141">
        <f>IF((P34+J$7+J$8)=0," ",J32/(+J$7+J$8))</f>
        <v>6.6312997347480113E-2</v>
      </c>
      <c r="K31" s="141">
        <f t="shared" ref="K31:O31" si="13">IF((+K$7+K$8)=0," ",K32/(+K$7+K$8))</f>
        <v>0.15363128491620112</v>
      </c>
      <c r="L31" s="141">
        <f t="shared" si="13"/>
        <v>9.4117647058823528E-2</v>
      </c>
      <c r="M31" s="141">
        <f t="shared" si="13"/>
        <v>7.9545454545454544E-2</v>
      </c>
      <c r="N31" s="141">
        <f t="shared" si="13"/>
        <v>0.19313304721030042</v>
      </c>
      <c r="O31" s="141">
        <f t="shared" si="13"/>
        <v>1.2068965517241379</v>
      </c>
      <c r="P31" s="124"/>
      <c r="Q31" s="141">
        <f>IF((+Q$7+Q$8)=0," ",(+Q32+Q33)/(+Q$7+Q$8))</f>
        <v>0.13348536847241299</v>
      </c>
      <c r="R31" s="243" t="s">
        <v>11</v>
      </c>
      <c r="S31" s="133">
        <v>8.9179680956015112E-2</v>
      </c>
      <c r="T31" s="124"/>
      <c r="U31" s="134"/>
      <c r="V31" s="143"/>
      <c r="W31" s="135">
        <v>8.6224675435439602E-2</v>
      </c>
    </row>
    <row r="32" spans="1:26" s="44" customFormat="1" ht="35.1" customHeight="1">
      <c r="A32" s="45" t="s">
        <v>103</v>
      </c>
      <c r="B32" s="149"/>
      <c r="C32" s="149"/>
      <c r="D32" s="145">
        <v>3200</v>
      </c>
      <c r="E32" s="145">
        <v>3200</v>
      </c>
      <c r="F32" s="145">
        <v>3200</v>
      </c>
      <c r="G32" s="145">
        <v>3200</v>
      </c>
      <c r="H32" s="145">
        <v>3200</v>
      </c>
      <c r="I32" s="145">
        <v>5000</v>
      </c>
      <c r="J32" s="145">
        <v>5000</v>
      </c>
      <c r="K32" s="145">
        <v>5500</v>
      </c>
      <c r="L32" s="145">
        <v>4000</v>
      </c>
      <c r="M32" s="145">
        <v>3500</v>
      </c>
      <c r="N32" s="145">
        <v>4500</v>
      </c>
      <c r="O32" s="145">
        <v>3500</v>
      </c>
      <c r="P32" s="48"/>
      <c r="Q32" s="139">
        <f t="shared" si="7"/>
        <v>47000</v>
      </c>
      <c r="R32" s="243" t="s">
        <v>11</v>
      </c>
      <c r="S32" s="53">
        <v>23955</v>
      </c>
      <c r="T32" s="51"/>
      <c r="U32" s="85">
        <f>+Q32-S32</f>
        <v>23045</v>
      </c>
      <c r="V32" s="143"/>
      <c r="W32" s="140">
        <v>23474.880000000001</v>
      </c>
    </row>
    <row r="33" spans="1:26" s="127" customFormat="1" ht="27" customHeight="1">
      <c r="A33" s="124"/>
      <c r="B33" s="124"/>
      <c r="C33" s="124"/>
      <c r="D33" s="141" t="str">
        <f t="shared" ref="D33:O33" si="14">IF((+D$7+D$8)=0," ",D34/(+D$7+D$8))</f>
        <v xml:space="preserve"> </v>
      </c>
      <c r="E33" s="141">
        <f t="shared" si="14"/>
        <v>2.2384615384615385</v>
      </c>
      <c r="F33" s="141">
        <f t="shared" si="14"/>
        <v>0.5243243243243243</v>
      </c>
      <c r="G33" s="141">
        <f t="shared" si="14"/>
        <v>0.37792207792207794</v>
      </c>
      <c r="H33" s="141">
        <f t="shared" si="14"/>
        <v>0.23950617283950618</v>
      </c>
      <c r="I33" s="141">
        <f t="shared" si="14"/>
        <v>7.780748663101604E-2</v>
      </c>
      <c r="J33" s="141">
        <f t="shared" si="14"/>
        <v>7.7188328912466839E-2</v>
      </c>
      <c r="K33" s="141">
        <f t="shared" si="14"/>
        <v>0.16256983240223463</v>
      </c>
      <c r="L33" s="141">
        <f t="shared" si="14"/>
        <v>0.13694117647058823</v>
      </c>
      <c r="M33" s="141">
        <f t="shared" si="14"/>
        <v>0.13227272727272726</v>
      </c>
      <c r="N33" s="141">
        <f t="shared" si="14"/>
        <v>0.24892703862660945</v>
      </c>
      <c r="O33" s="141">
        <f t="shared" si="14"/>
        <v>2</v>
      </c>
      <c r="P33" s="124"/>
      <c r="Q33" s="141">
        <f>IF((+Q$7+Q$8)=0," ",Q34/(+Q$7+Q$8))</f>
        <v>0.19823913660891793</v>
      </c>
      <c r="R33" s="243" t="s">
        <v>11</v>
      </c>
      <c r="S33" s="133">
        <v>7.1477765575265709E-2</v>
      </c>
      <c r="T33" s="124"/>
      <c r="U33" s="134"/>
      <c r="V33" s="143"/>
      <c r="W33" s="135">
        <v>7.1360236744968261E-2</v>
      </c>
    </row>
    <row r="34" spans="1:26" s="44" customFormat="1" ht="35.1" customHeight="1">
      <c r="A34" s="268" t="s">
        <v>104</v>
      </c>
      <c r="B34" s="268"/>
      <c r="C34" s="268"/>
      <c r="D34" s="292">
        <v>5820</v>
      </c>
      <c r="E34" s="292">
        <f>D34</f>
        <v>5820</v>
      </c>
      <c r="F34" s="292">
        <f t="shared" ref="F34:O34" si="15">E34</f>
        <v>5820</v>
      </c>
      <c r="G34" s="292">
        <f t="shared" si="15"/>
        <v>5820</v>
      </c>
      <c r="H34" s="292">
        <f t="shared" si="15"/>
        <v>5820</v>
      </c>
      <c r="I34" s="292">
        <f t="shared" si="15"/>
        <v>5820</v>
      </c>
      <c r="J34" s="292">
        <f t="shared" si="15"/>
        <v>5820</v>
      </c>
      <c r="K34" s="292">
        <f t="shared" si="15"/>
        <v>5820</v>
      </c>
      <c r="L34" s="292">
        <f t="shared" si="15"/>
        <v>5820</v>
      </c>
      <c r="M34" s="292">
        <f t="shared" si="15"/>
        <v>5820</v>
      </c>
      <c r="N34" s="292">
        <v>5800</v>
      </c>
      <c r="O34" s="292">
        <f t="shared" si="15"/>
        <v>5800</v>
      </c>
      <c r="P34" s="11"/>
      <c r="Q34" s="269">
        <f>SUM(D34:O34)</f>
        <v>69800</v>
      </c>
      <c r="R34" s="243" t="s">
        <v>11</v>
      </c>
      <c r="S34" s="425">
        <v>19200</v>
      </c>
      <c r="T34" s="51"/>
      <c r="U34" s="85">
        <f>+Q34-S34</f>
        <v>50600</v>
      </c>
      <c r="V34" s="143"/>
      <c r="W34" s="420">
        <v>19428</v>
      </c>
      <c r="Z34" s="440">
        <f>SUM(D34:O34)</f>
        <v>69800</v>
      </c>
    </row>
    <row r="35" spans="1:26" s="127" customFormat="1" ht="27" customHeight="1">
      <c r="A35" s="124"/>
      <c r="B35" s="124"/>
      <c r="C35" s="124"/>
      <c r="D35" s="141" t="str">
        <f t="shared" ref="D35:O35" si="16">IF((+D$7+D$8)=0," ",D36/(+D$7+D$8))</f>
        <v xml:space="preserve"> </v>
      </c>
      <c r="E35" s="141">
        <f t="shared" si="16"/>
        <v>0</v>
      </c>
      <c r="F35" s="141">
        <f t="shared" si="16"/>
        <v>8.1081081081081086E-2</v>
      </c>
      <c r="G35" s="141">
        <f t="shared" si="16"/>
        <v>0</v>
      </c>
      <c r="H35" s="141">
        <f t="shared" si="16"/>
        <v>4.11522633744856E-3</v>
      </c>
      <c r="I35" s="141">
        <f t="shared" si="16"/>
        <v>1.06951871657754E-2</v>
      </c>
      <c r="J35" s="141">
        <f t="shared" si="16"/>
        <v>2.6525198938992041E-3</v>
      </c>
      <c r="K35" s="141">
        <f t="shared" si="16"/>
        <v>8.3798882681564244E-3</v>
      </c>
      <c r="L35" s="141">
        <f t="shared" si="16"/>
        <v>0</v>
      </c>
      <c r="M35" s="141">
        <f t="shared" si="16"/>
        <v>2.2727272727272726E-3</v>
      </c>
      <c r="N35" s="141">
        <f t="shared" si="16"/>
        <v>3.4334763948497854E-2</v>
      </c>
      <c r="O35" s="141">
        <f t="shared" si="16"/>
        <v>6.8965517241379309E-2</v>
      </c>
      <c r="P35" s="124"/>
      <c r="Q35" s="141">
        <f>IF((+Q$7+Q$8)=0," ",Q36/(+Q$7+Q$8))</f>
        <v>1.3064470320931554E-2</v>
      </c>
      <c r="R35" s="243" t="s">
        <v>11</v>
      </c>
      <c r="S35" s="133">
        <v>9.3995495411648648E-3</v>
      </c>
      <c r="T35" s="124"/>
      <c r="U35" s="134"/>
      <c r="V35" s="143"/>
      <c r="W35" s="135">
        <v>7.0515799930696696E-3</v>
      </c>
    </row>
    <row r="36" spans="1:26" s="44" customFormat="1" ht="35.1" customHeight="1">
      <c r="A36" s="45" t="s">
        <v>105</v>
      </c>
      <c r="B36" s="45"/>
      <c r="C36" s="45"/>
      <c r="D36" s="145">
        <v>1200</v>
      </c>
      <c r="E36" s="145">
        <v>0</v>
      </c>
      <c r="F36" s="145">
        <v>900</v>
      </c>
      <c r="G36" s="145">
        <v>0</v>
      </c>
      <c r="H36" s="145">
        <v>100</v>
      </c>
      <c r="I36" s="145">
        <v>800</v>
      </c>
      <c r="J36" s="145">
        <v>200</v>
      </c>
      <c r="K36" s="145">
        <v>300</v>
      </c>
      <c r="L36" s="145">
        <v>0</v>
      </c>
      <c r="M36" s="145">
        <v>100</v>
      </c>
      <c r="N36" s="145">
        <v>800</v>
      </c>
      <c r="O36" s="145">
        <v>200</v>
      </c>
      <c r="P36" s="48"/>
      <c r="Q36" s="139">
        <f t="shared" si="7"/>
        <v>4600</v>
      </c>
      <c r="R36" s="243" t="s">
        <v>11</v>
      </c>
      <c r="S36" s="53">
        <v>2524.86</v>
      </c>
      <c r="T36" s="51"/>
      <c r="U36" s="85">
        <f>+Q36-S36</f>
        <v>2075.14</v>
      </c>
      <c r="V36" s="143"/>
      <c r="W36" s="140">
        <v>1919.8100000000002</v>
      </c>
    </row>
    <row r="37" spans="1:26" s="127" customFormat="1" ht="27" customHeight="1">
      <c r="A37" s="124"/>
      <c r="B37" s="124"/>
      <c r="C37" s="124"/>
      <c r="D37" s="141" t="str">
        <f t="shared" ref="D37:J37" si="17">IF((+D$7+D$8)=0," ",D38/(+D$7+D$8))</f>
        <v xml:space="preserve"> </v>
      </c>
      <c r="E37" s="141">
        <f t="shared" si="17"/>
        <v>0.35230769230769232</v>
      </c>
      <c r="F37" s="141">
        <f t="shared" si="17"/>
        <v>8.2522522522522526E-2</v>
      </c>
      <c r="G37" s="141">
        <f t="shared" si="17"/>
        <v>5.9480519480519481E-2</v>
      </c>
      <c r="H37" s="141">
        <f t="shared" si="17"/>
        <v>3.7695473251028809E-2</v>
      </c>
      <c r="I37" s="141">
        <f t="shared" si="17"/>
        <v>1.2245989304812833E-2</v>
      </c>
      <c r="J37" s="141">
        <f t="shared" si="17"/>
        <v>1.2254641909814323E-2</v>
      </c>
      <c r="K37" s="141">
        <f>IF((+K$7+K$8)=0," ",K38/(+K$7+K$8))</f>
        <v>2.5586592178770951E-2</v>
      </c>
      <c r="L37" s="141">
        <f>IF((+L$7+L$8)=0," ",L38/(+L$7+L$8))</f>
        <v>2.1552941176470587E-2</v>
      </c>
      <c r="M37" s="141">
        <f>IF((+M$7+M$8)=0," ",M38/(+M$7+M$8))</f>
        <v>2.0818181818181819E-2</v>
      </c>
      <c r="N37" s="141">
        <f>IF((+N$7+N$8)=0," ",N38/(+N$7+N$8))</f>
        <v>3.9313304721030042E-2</v>
      </c>
      <c r="O37" s="141">
        <f>IF((+O$7+O$8)=0," ",O38/(+O$7+O$8))</f>
        <v>0.31586206896551722</v>
      </c>
      <c r="P37" s="147"/>
      <c r="Q37" s="141">
        <f>IF((+Q$7+Q$8)=0," ",Q38/(+Q$7+Q$8))</f>
        <v>3.1241124680488497E-2</v>
      </c>
      <c r="R37" s="243" t="s">
        <v>11</v>
      </c>
      <c r="S37" s="133">
        <v>7.9668372950133085E-2</v>
      </c>
      <c r="T37" s="124"/>
      <c r="U37" s="134"/>
      <c r="V37" s="143"/>
      <c r="W37" s="135">
        <v>6.2677744032138411E-2</v>
      </c>
    </row>
    <row r="38" spans="1:26" s="44" customFormat="1" ht="34.5" customHeight="1">
      <c r="A38" s="45" t="s">
        <v>106</v>
      </c>
      <c r="B38" s="45"/>
      <c r="C38" s="45"/>
      <c r="D38" s="184">
        <v>916</v>
      </c>
      <c r="E38" s="184">
        <v>916</v>
      </c>
      <c r="F38" s="184">
        <v>916</v>
      </c>
      <c r="G38" s="184">
        <v>916</v>
      </c>
      <c r="H38" s="184">
        <v>916</v>
      </c>
      <c r="I38" s="184">
        <v>916</v>
      </c>
      <c r="J38" s="184">
        <v>924</v>
      </c>
      <c r="K38" s="184">
        <v>916</v>
      </c>
      <c r="L38" s="184">
        <v>916</v>
      </c>
      <c r="M38" s="184">
        <v>916</v>
      </c>
      <c r="N38" s="184">
        <v>916</v>
      </c>
      <c r="O38" s="184">
        <v>916</v>
      </c>
      <c r="P38" s="138"/>
      <c r="Q38" s="139">
        <f t="shared" si="7"/>
        <v>11000</v>
      </c>
      <c r="R38" s="243" t="s">
        <v>11</v>
      </c>
      <c r="S38" s="53">
        <v>21400.12</v>
      </c>
      <c r="T38" s="51"/>
      <c r="U38" s="85">
        <f>+Q38-S38</f>
        <v>-10400.119999999999</v>
      </c>
      <c r="V38" s="143"/>
      <c r="W38" s="140">
        <v>17064.169999999998</v>
      </c>
    </row>
    <row r="39" spans="1:26" s="127" customFormat="1" ht="27" customHeight="1">
      <c r="A39" s="124"/>
      <c r="B39" s="124"/>
      <c r="C39" s="124"/>
      <c r="D39" s="141" t="str">
        <f t="shared" ref="D39:P39" si="18">IF((+D$7+D$8)=0," ",D40/(+D$7+D$8))</f>
        <v xml:space="preserve"> </v>
      </c>
      <c r="E39" s="141">
        <f t="shared" si="18"/>
        <v>0</v>
      </c>
      <c r="F39" s="141">
        <f t="shared" si="18"/>
        <v>0</v>
      </c>
      <c r="G39" s="141">
        <f t="shared" si="18"/>
        <v>0</v>
      </c>
      <c r="H39" s="141">
        <f t="shared" si="18"/>
        <v>0</v>
      </c>
      <c r="I39" s="141">
        <f t="shared" si="18"/>
        <v>0</v>
      </c>
      <c r="J39" s="141">
        <f t="shared" si="18"/>
        <v>0</v>
      </c>
      <c r="K39" s="141">
        <f t="shared" si="18"/>
        <v>0</v>
      </c>
      <c r="L39" s="141">
        <f t="shared" si="18"/>
        <v>0</v>
      </c>
      <c r="M39" s="141">
        <f t="shared" si="18"/>
        <v>0</v>
      </c>
      <c r="N39" s="141">
        <f t="shared" si="18"/>
        <v>0</v>
      </c>
      <c r="O39" s="141">
        <f t="shared" si="18"/>
        <v>0</v>
      </c>
      <c r="P39" s="147" t="str">
        <f t="shared" si="18"/>
        <v xml:space="preserve"> </v>
      </c>
      <c r="Q39" s="141">
        <f>IF((+Q$7+Q$8)=0," ",Q40/(+Q$7+Q$8))</f>
        <v>0</v>
      </c>
      <c r="R39" s="243" t="s">
        <v>11</v>
      </c>
      <c r="S39" s="133">
        <v>2.2336801742270537E-2</v>
      </c>
      <c r="T39" s="124"/>
      <c r="U39" s="134"/>
      <c r="V39" s="143"/>
      <c r="W39" s="135">
        <v>3.3183758927283896E-2</v>
      </c>
    </row>
    <row r="40" spans="1:26" s="153" customFormat="1" ht="33.75" customHeight="1">
      <c r="A40" s="268" t="s">
        <v>107</v>
      </c>
      <c r="B40" s="268"/>
      <c r="C40" s="268"/>
      <c r="D40" s="292">
        <v>0</v>
      </c>
      <c r="E40" s="292">
        <v>0</v>
      </c>
      <c r="F40" s="292">
        <v>0</v>
      </c>
      <c r="G40" s="292">
        <v>0</v>
      </c>
      <c r="H40" s="292">
        <v>0</v>
      </c>
      <c r="I40" s="292">
        <v>0</v>
      </c>
      <c r="J40" s="292">
        <v>0</v>
      </c>
      <c r="K40" s="292">
        <v>0</v>
      </c>
      <c r="L40" s="292">
        <v>0</v>
      </c>
      <c r="M40" s="292">
        <v>0</v>
      </c>
      <c r="N40" s="292">
        <v>0</v>
      </c>
      <c r="O40" s="292">
        <v>0</v>
      </c>
      <c r="P40" s="11"/>
      <c r="Q40" s="269">
        <f t="shared" si="7"/>
        <v>0</v>
      </c>
      <c r="R40" s="243" t="s">
        <v>11</v>
      </c>
      <c r="S40" s="425">
        <v>6000</v>
      </c>
      <c r="T40" s="138"/>
      <c r="U40" s="85">
        <f>+Q40-S40</f>
        <v>-6000</v>
      </c>
      <c r="V40" s="143"/>
      <c r="W40" s="420">
        <v>9034.36</v>
      </c>
    </row>
    <row r="41" spans="1:26" s="127" customFormat="1" ht="27" customHeight="1">
      <c r="B41" s="124"/>
      <c r="C41" s="124"/>
      <c r="D41" s="141" t="str">
        <f t="shared" ref="D41:O41" si="19">IF((+D$7+D$8)=0," ",D42/(+D$7+D$8))</f>
        <v xml:space="preserve"> </v>
      </c>
      <c r="E41" s="141">
        <f t="shared" si="19"/>
        <v>9.6153846153846159E-2</v>
      </c>
      <c r="F41" s="141">
        <f t="shared" si="19"/>
        <v>2.2522522522522521E-2</v>
      </c>
      <c r="G41" s="141">
        <f t="shared" si="19"/>
        <v>2.5974025974025976E-2</v>
      </c>
      <c r="H41" s="141">
        <f t="shared" si="19"/>
        <v>1.2345679012345678E-2</v>
      </c>
      <c r="I41" s="141">
        <f t="shared" si="19"/>
        <v>3.3422459893048127E-3</v>
      </c>
      <c r="J41" s="141">
        <f t="shared" si="19"/>
        <v>3.3156498673740055E-3</v>
      </c>
      <c r="K41" s="141">
        <f t="shared" si="19"/>
        <v>8.3798882681564244E-3</v>
      </c>
      <c r="L41" s="141">
        <f t="shared" si="19"/>
        <v>8.2352941176470594E-3</v>
      </c>
      <c r="M41" s="141">
        <f t="shared" si="19"/>
        <v>1.4772727272727272E-2</v>
      </c>
      <c r="N41" s="141">
        <f t="shared" si="19"/>
        <v>1.0729613733905579E-2</v>
      </c>
      <c r="O41" s="141">
        <f t="shared" si="19"/>
        <v>8.6206896551724144E-2</v>
      </c>
      <c r="P41" s="124"/>
      <c r="Q41" s="141">
        <f>IF((+Q$7+Q$8)=0," ",Q42/(+Q$7+Q$8))</f>
        <v>1.0508378301618859E-2</v>
      </c>
      <c r="R41" s="243" t="s">
        <v>11</v>
      </c>
      <c r="S41" s="133">
        <v>1.7295534501051691E-2</v>
      </c>
      <c r="T41" s="124"/>
      <c r="U41" s="134"/>
      <c r="V41" s="143"/>
      <c r="W41" s="135">
        <v>1.7176961412947382E-2</v>
      </c>
    </row>
    <row r="42" spans="1:26" s="44" customFormat="1" ht="35.1" customHeight="1">
      <c r="A42" s="270" t="s">
        <v>108</v>
      </c>
      <c r="B42" s="45"/>
      <c r="C42" s="45"/>
      <c r="D42" s="145">
        <v>200</v>
      </c>
      <c r="E42" s="145">
        <v>250</v>
      </c>
      <c r="F42" s="145">
        <v>250</v>
      </c>
      <c r="G42" s="145">
        <v>400</v>
      </c>
      <c r="H42" s="145">
        <v>300</v>
      </c>
      <c r="I42" s="145">
        <v>250</v>
      </c>
      <c r="J42" s="145">
        <v>250</v>
      </c>
      <c r="K42" s="145">
        <v>300</v>
      </c>
      <c r="L42" s="145">
        <v>350</v>
      </c>
      <c r="M42" s="145">
        <v>650</v>
      </c>
      <c r="N42" s="145">
        <v>250</v>
      </c>
      <c r="O42" s="145">
        <v>250</v>
      </c>
      <c r="P42" s="48"/>
      <c r="Q42" s="139">
        <f t="shared" si="7"/>
        <v>3700</v>
      </c>
      <c r="R42" s="243" t="s">
        <v>11</v>
      </c>
      <c r="S42" s="53">
        <v>4645.84</v>
      </c>
      <c r="T42" s="51"/>
      <c r="U42" s="85">
        <f>+Q42-S42</f>
        <v>-945.84000000000015</v>
      </c>
      <c r="V42" s="143"/>
      <c r="W42" s="140">
        <v>4676.47</v>
      </c>
    </row>
    <row r="43" spans="1:26" s="127" customFormat="1" ht="27" customHeight="1">
      <c r="A43" s="124"/>
      <c r="B43" s="124"/>
      <c r="C43" s="124"/>
      <c r="D43" s="141" t="str">
        <f t="shared" ref="D43:O43" si="20">IF((+D$7+D$8)=0," ",D44/(+D$7+D$8))</f>
        <v xml:space="preserve"> </v>
      </c>
      <c r="E43" s="141">
        <f t="shared" si="20"/>
        <v>5.7692307692307696E-2</v>
      </c>
      <c r="F43" s="141">
        <f t="shared" si="20"/>
        <v>1.3513513513513514E-2</v>
      </c>
      <c r="G43" s="141">
        <f t="shared" si="20"/>
        <v>1.2987012987012988E-2</v>
      </c>
      <c r="H43" s="141">
        <f t="shared" si="20"/>
        <v>6.1728395061728392E-3</v>
      </c>
      <c r="I43" s="141">
        <f t="shared" si="20"/>
        <v>2.0053475935828879E-3</v>
      </c>
      <c r="J43" s="141">
        <f t="shared" si="20"/>
        <v>3.3156498673740055E-3</v>
      </c>
      <c r="K43" s="141">
        <f t="shared" si="20"/>
        <v>4.1899441340782122E-3</v>
      </c>
      <c r="L43" s="141">
        <f t="shared" si="20"/>
        <v>5.8823529411764705E-3</v>
      </c>
      <c r="M43" s="141">
        <f t="shared" si="20"/>
        <v>3.4090909090909089E-3</v>
      </c>
      <c r="N43" s="141">
        <f t="shared" si="20"/>
        <v>8.5836909871244635E-3</v>
      </c>
      <c r="O43" s="141">
        <f t="shared" si="20"/>
        <v>5.1724137931034482E-2</v>
      </c>
      <c r="P43" s="124"/>
      <c r="Q43" s="141">
        <f>IF((+Q$7+Q$8)=0," ",Q44/(+Q$7+Q$8))</f>
        <v>5.9642147117296221E-3</v>
      </c>
      <c r="R43" s="243" t="s">
        <v>11</v>
      </c>
      <c r="S43" s="133">
        <v>3.2760642555330118E-3</v>
      </c>
      <c r="T43" s="124"/>
      <c r="U43" s="134"/>
      <c r="V43" s="143"/>
      <c r="W43" s="135">
        <v>2.2212838774716675E-3</v>
      </c>
    </row>
    <row r="44" spans="1:26" s="44" customFormat="1" ht="35.1" customHeight="1">
      <c r="A44" s="45" t="s">
        <v>109</v>
      </c>
      <c r="B44" s="45"/>
      <c r="C44" s="45"/>
      <c r="D44" s="145">
        <v>150</v>
      </c>
      <c r="E44" s="145">
        <v>150</v>
      </c>
      <c r="F44" s="145">
        <v>150</v>
      </c>
      <c r="G44" s="145">
        <v>200</v>
      </c>
      <c r="H44" s="145">
        <v>150</v>
      </c>
      <c r="I44" s="145">
        <v>150</v>
      </c>
      <c r="J44" s="145">
        <v>250</v>
      </c>
      <c r="K44" s="145">
        <v>150</v>
      </c>
      <c r="L44" s="145">
        <v>250</v>
      </c>
      <c r="M44" s="145">
        <v>150</v>
      </c>
      <c r="N44" s="145">
        <v>200</v>
      </c>
      <c r="O44" s="145">
        <v>150</v>
      </c>
      <c r="P44" s="48"/>
      <c r="Q44" s="139">
        <f t="shared" si="7"/>
        <v>2100</v>
      </c>
      <c r="R44" s="243" t="s">
        <v>11</v>
      </c>
      <c r="S44" s="53">
        <v>880</v>
      </c>
      <c r="T44" s="51"/>
      <c r="U44" s="85">
        <f>+Q44-S44</f>
        <v>1220</v>
      </c>
      <c r="V44" s="143"/>
      <c r="W44" s="140">
        <v>604.75</v>
      </c>
    </row>
    <row r="45" spans="1:26" s="127" customFormat="1" ht="27" customHeight="1">
      <c r="A45" s="124"/>
      <c r="B45" s="124"/>
      <c r="C45" s="124"/>
      <c r="D45" s="141" t="str">
        <f t="shared" ref="D45:O45" si="21">IF((+D$7+D$8)=0," ",D46/(+D$7+D$8))</f>
        <v xml:space="preserve"> </v>
      </c>
      <c r="E45" s="141">
        <f t="shared" si="21"/>
        <v>0.53846153846153844</v>
      </c>
      <c r="F45" s="141">
        <f t="shared" si="21"/>
        <v>3.6036036036036036E-2</v>
      </c>
      <c r="G45" s="141">
        <f t="shared" si="21"/>
        <v>6.4935064935064929E-2</v>
      </c>
      <c r="H45" s="141">
        <f t="shared" si="21"/>
        <v>0</v>
      </c>
      <c r="I45" s="141">
        <f t="shared" si="21"/>
        <v>8.021390374331551E-4</v>
      </c>
      <c r="J45" s="141">
        <f t="shared" si="21"/>
        <v>0</v>
      </c>
      <c r="K45" s="141" t="s">
        <v>60</v>
      </c>
      <c r="L45" s="141">
        <f t="shared" si="21"/>
        <v>9.4117647058823532E-4</v>
      </c>
      <c r="M45" s="141">
        <f t="shared" si="21"/>
        <v>2.2727272727272726E-3</v>
      </c>
      <c r="N45" s="141">
        <f t="shared" si="21"/>
        <v>4.2918454935622317E-2</v>
      </c>
      <c r="O45" s="141">
        <f t="shared" si="21"/>
        <v>0.34482758620689657</v>
      </c>
      <c r="P45" s="124"/>
      <c r="Q45" s="141">
        <f>IF((+Q$7+Q$8)=0," ",Q46/(+Q$7+Q$8))</f>
        <v>1.4484521442771939E-2</v>
      </c>
      <c r="R45" s="243" t="s">
        <v>11</v>
      </c>
      <c r="S45" s="133">
        <v>1.5710217225396943E-2</v>
      </c>
      <c r="T45" s="124"/>
      <c r="U45" s="134"/>
      <c r="V45" s="143"/>
      <c r="W45" s="135">
        <v>1.2736597494839902E-2</v>
      </c>
    </row>
    <row r="46" spans="1:26" s="44" customFormat="1" ht="35.1" customHeight="1">
      <c r="A46" s="45" t="s">
        <v>110</v>
      </c>
      <c r="B46" s="45"/>
      <c r="C46" s="45"/>
      <c r="D46" s="145">
        <v>100</v>
      </c>
      <c r="E46" s="145">
        <v>1400</v>
      </c>
      <c r="F46" s="145">
        <v>400</v>
      </c>
      <c r="G46" s="145">
        <v>1000</v>
      </c>
      <c r="H46" s="145">
        <f>'[1]Input Wrksht '!J23+'[1]Input Wrksht '!J29+'[1]Input Wrksht '!J19</f>
        <v>0</v>
      </c>
      <c r="I46" s="145">
        <v>60</v>
      </c>
      <c r="J46" s="145">
        <f>'[1]Input Wrksht '!L23+'[1]Input Wrksht '!L29+'[1]Input Wrksht '!L19</f>
        <v>0</v>
      </c>
      <c r="K46" s="145">
        <v>0</v>
      </c>
      <c r="L46" s="145">
        <v>40</v>
      </c>
      <c r="M46" s="145">
        <v>100</v>
      </c>
      <c r="N46" s="145">
        <v>1000</v>
      </c>
      <c r="O46" s="145">
        <v>1000</v>
      </c>
      <c r="P46" s="48"/>
      <c r="Q46" s="139">
        <f t="shared" si="7"/>
        <v>5100</v>
      </c>
      <c r="R46" s="243" t="s">
        <v>11</v>
      </c>
      <c r="S46" s="53">
        <v>4220</v>
      </c>
      <c r="T46" s="51"/>
      <c r="U46" s="85">
        <f>+Q46-S46</f>
        <v>880</v>
      </c>
      <c r="V46" s="143"/>
      <c r="W46" s="140">
        <v>3467.57</v>
      </c>
    </row>
    <row r="47" spans="1:26" s="127" customFormat="1" ht="27" customHeight="1">
      <c r="A47" s="124"/>
      <c r="B47" s="124"/>
      <c r="C47" s="124"/>
      <c r="D47" s="141" t="str">
        <f t="shared" ref="D47:O47" si="22">IF((+D$7+D$8)=0," ",D48/(+D$7+D$8))</f>
        <v xml:space="preserve"> </v>
      </c>
      <c r="E47" s="141">
        <f t="shared" si="22"/>
        <v>0</v>
      </c>
      <c r="F47" s="141">
        <f t="shared" si="22"/>
        <v>0</v>
      </c>
      <c r="G47" s="141">
        <f t="shared" si="22"/>
        <v>3.246753246753247E-3</v>
      </c>
      <c r="H47" s="141">
        <f t="shared" si="22"/>
        <v>2.6748971193415638E-2</v>
      </c>
      <c r="I47" s="141">
        <f t="shared" si="22"/>
        <v>0</v>
      </c>
      <c r="J47" s="141">
        <f t="shared" si="22"/>
        <v>0</v>
      </c>
      <c r="K47" s="141">
        <f t="shared" si="22"/>
        <v>0</v>
      </c>
      <c r="L47" s="141">
        <f t="shared" si="22"/>
        <v>0</v>
      </c>
      <c r="M47" s="141">
        <f t="shared" si="22"/>
        <v>6.3636363636363638E-3</v>
      </c>
      <c r="N47" s="141">
        <f t="shared" si="22"/>
        <v>0</v>
      </c>
      <c r="O47" s="141">
        <f t="shared" si="22"/>
        <v>6.8965517241379309E-3</v>
      </c>
      <c r="P47" s="124"/>
      <c r="Q47" s="141">
        <f>IF((+Q$7+Q$8)=0," ",Q48/(+Q$7+Q$8))</f>
        <v>2.8401022436807723E-3</v>
      </c>
      <c r="R47" s="243" t="s">
        <v>11</v>
      </c>
      <c r="S47" s="133">
        <v>1.1168400871135268E-4</v>
      </c>
      <c r="T47" s="124"/>
      <c r="U47" s="134"/>
      <c r="V47" s="143"/>
      <c r="W47" s="135">
        <v>9.1826534827270265E-5</v>
      </c>
    </row>
    <row r="48" spans="1:26" s="44" customFormat="1" ht="35.1" customHeight="1">
      <c r="A48" s="45" t="s">
        <v>111</v>
      </c>
      <c r="B48" s="45"/>
      <c r="C48" s="45"/>
      <c r="D48" s="184">
        <v>0</v>
      </c>
      <c r="E48" s="184">
        <v>0</v>
      </c>
      <c r="F48" s="184">
        <v>0</v>
      </c>
      <c r="G48" s="184">
        <v>50</v>
      </c>
      <c r="H48" s="184">
        <v>650</v>
      </c>
      <c r="I48" s="184">
        <f>'[1]Input Wrksht '!K31</f>
        <v>0</v>
      </c>
      <c r="J48" s="184">
        <f>'[1]Input Wrksht '!L31</f>
        <v>0</v>
      </c>
      <c r="K48" s="145">
        <v>0</v>
      </c>
      <c r="L48" s="145">
        <v>0</v>
      </c>
      <c r="M48" s="145">
        <v>280</v>
      </c>
      <c r="N48" s="145">
        <v>0</v>
      </c>
      <c r="O48" s="145">
        <v>20</v>
      </c>
      <c r="P48" s="48"/>
      <c r="Q48" s="139">
        <f t="shared" si="7"/>
        <v>1000</v>
      </c>
      <c r="R48" s="243" t="s">
        <v>11</v>
      </c>
      <c r="S48" s="53">
        <v>30</v>
      </c>
      <c r="T48" s="51"/>
      <c r="U48" s="85">
        <f>+Q48-S48</f>
        <v>970</v>
      </c>
      <c r="V48" s="143"/>
      <c r="W48" s="140">
        <v>25</v>
      </c>
    </row>
    <row r="49" spans="1:23" s="127" customFormat="1" ht="27" customHeight="1">
      <c r="A49" s="45"/>
      <c r="B49" s="45"/>
      <c r="C49" s="45"/>
      <c r="D49" s="155"/>
      <c r="E49" s="155"/>
      <c r="F49" s="155"/>
      <c r="G49" s="155"/>
      <c r="H49" s="155"/>
      <c r="I49" s="155"/>
      <c r="J49" s="155"/>
      <c r="K49" s="48"/>
      <c r="L49" s="48"/>
      <c r="M49" s="48"/>
      <c r="N49" s="48"/>
      <c r="O49" s="48"/>
      <c r="P49" s="48"/>
      <c r="Q49" s="132"/>
      <c r="R49" s="243" t="s">
        <v>11</v>
      </c>
      <c r="S49" s="156"/>
      <c r="T49" s="124"/>
      <c r="U49" s="134"/>
      <c r="V49" s="143"/>
      <c r="W49" s="156"/>
    </row>
    <row r="50" spans="1:23" s="44" customFormat="1" ht="35.1" customHeight="1" thickBot="1">
      <c r="A50" s="271"/>
      <c r="B50" s="62" t="s">
        <v>63</v>
      </c>
      <c r="C50" s="62"/>
      <c r="D50" s="293">
        <f>+D48+D46+D44+D42+D40+D38+D36+D34+D32+D30+D28+D26+D24+D22+D19</f>
        <v>19486</v>
      </c>
      <c r="E50" s="293">
        <f t="shared" ref="E50:O50" si="23">+E48+E46+E44+E42+E40+E38+E36+E34+E32+E30+E28+E26+E24+E22+E19</f>
        <v>21516</v>
      </c>
      <c r="F50" s="293">
        <f t="shared" si="23"/>
        <v>22686</v>
      </c>
      <c r="G50" s="293">
        <f t="shared" si="23"/>
        <v>23386</v>
      </c>
      <c r="H50" s="293">
        <f t="shared" si="23"/>
        <v>25136</v>
      </c>
      <c r="I50" s="293">
        <f t="shared" si="23"/>
        <v>34846</v>
      </c>
      <c r="J50" s="293">
        <f t="shared" si="23"/>
        <v>35704</v>
      </c>
      <c r="K50" s="293">
        <f t="shared" si="23"/>
        <v>30786</v>
      </c>
      <c r="L50" s="293">
        <f t="shared" si="23"/>
        <v>30376</v>
      </c>
      <c r="M50" s="293">
        <f t="shared" si="23"/>
        <v>30296</v>
      </c>
      <c r="N50" s="293">
        <f t="shared" si="23"/>
        <v>25746</v>
      </c>
      <c r="O50" s="293">
        <f t="shared" si="23"/>
        <v>22336</v>
      </c>
      <c r="P50" s="293" t="s">
        <v>11</v>
      </c>
      <c r="Q50" s="295">
        <f>+Q48+Q46+Q44+Q42+Q40+Q38+Q36+Q34+Q32+Q30+Q28+Q26+Q24+Q22+Q19+Q20</f>
        <v>364800</v>
      </c>
      <c r="R50" s="243" t="s">
        <v>11</v>
      </c>
      <c r="S50" s="70">
        <f>+S48+S46+S44+S42+S40+S38+S36+S34+S32+S30+S28+S26+S24+S22+S19+S17</f>
        <v>269800.44</v>
      </c>
      <c r="T50" s="124"/>
      <c r="U50" s="134"/>
      <c r="V50" s="143"/>
      <c r="W50" s="421">
        <f>+W48+W46+W44+W42+W40+W38+W36+W34+W32+W30+W28+W26+W24+W22+W19+W17</f>
        <v>281099.25</v>
      </c>
    </row>
    <row r="51" spans="1:23" s="51" customFormat="1" ht="27" thickTop="1">
      <c r="A51" s="56"/>
      <c r="B51" s="56"/>
      <c r="C51" s="56"/>
      <c r="D51" s="160">
        <v>0</v>
      </c>
      <c r="E51" s="161">
        <v>0</v>
      </c>
      <c r="F51" s="161">
        <v>0</v>
      </c>
      <c r="G51" s="161">
        <v>0</v>
      </c>
      <c r="H51" s="161">
        <v>0</v>
      </c>
      <c r="I51" s="161">
        <v>0</v>
      </c>
      <c r="J51" s="294">
        <f>SUM($D$50:J50)</f>
        <v>182760</v>
      </c>
      <c r="K51" s="161">
        <v>0</v>
      </c>
      <c r="L51" s="161">
        <v>0</v>
      </c>
      <c r="M51" s="161">
        <v>0</v>
      </c>
      <c r="N51" s="161">
        <v>0</v>
      </c>
      <c r="O51" s="161">
        <v>0</v>
      </c>
      <c r="P51" s="86"/>
      <c r="Q51" s="56"/>
      <c r="R51" s="243" t="s">
        <v>11</v>
      </c>
      <c r="S51" s="162"/>
      <c r="T51" s="124"/>
      <c r="U51" s="134"/>
      <c r="V51" s="143"/>
      <c r="W51" s="157"/>
    </row>
    <row r="52" spans="1:23" s="85" customFormat="1" ht="50.1" customHeight="1" thickBot="1">
      <c r="A52" s="272"/>
      <c r="B52" s="273" t="s">
        <v>65</v>
      </c>
      <c r="C52" s="274"/>
      <c r="D52" s="165">
        <f t="shared" ref="D52:O52" si="24">+D13-D50</f>
        <v>-19486</v>
      </c>
      <c r="E52" s="165">
        <f t="shared" si="24"/>
        <v>-18916</v>
      </c>
      <c r="F52" s="166">
        <f t="shared" si="24"/>
        <v>-11586</v>
      </c>
      <c r="G52" s="166">
        <f t="shared" si="24"/>
        <v>-7286</v>
      </c>
      <c r="H52" s="166">
        <f t="shared" si="24"/>
        <v>1664</v>
      </c>
      <c r="I52" s="166">
        <f t="shared" si="24"/>
        <v>42954</v>
      </c>
      <c r="J52" s="166">
        <f t="shared" si="24"/>
        <v>42196</v>
      </c>
      <c r="K52" s="166">
        <f t="shared" si="24"/>
        <v>7014</v>
      </c>
      <c r="L52" s="166">
        <f t="shared" si="24"/>
        <v>13124</v>
      </c>
      <c r="M52" s="166">
        <f t="shared" si="24"/>
        <v>14704</v>
      </c>
      <c r="N52" s="166">
        <f t="shared" si="24"/>
        <v>-2446</v>
      </c>
      <c r="O52" s="166">
        <f t="shared" si="24"/>
        <v>-19436</v>
      </c>
      <c r="P52" s="71"/>
      <c r="Q52" s="234">
        <f>+Q13-Q50</f>
        <v>0</v>
      </c>
      <c r="R52" s="243" t="s">
        <v>11</v>
      </c>
      <c r="S52" s="167">
        <f>+S13-S50</f>
        <v>-0.44000000000232831</v>
      </c>
      <c r="T52" s="124"/>
      <c r="U52" s="134"/>
      <c r="V52" s="143"/>
      <c r="W52" s="386">
        <f>+W13-W50</f>
        <v>0</v>
      </c>
    </row>
    <row r="53" spans="1:23" s="15" customFormat="1" ht="27" thickTop="1">
      <c r="A53" s="169"/>
      <c r="B53" s="169"/>
      <c r="C53" s="169"/>
      <c r="D53" s="170"/>
      <c r="E53" s="170"/>
      <c r="F53" s="171"/>
      <c r="G53" s="170"/>
      <c r="H53" s="170"/>
      <c r="I53" s="170"/>
      <c r="J53" s="170"/>
      <c r="K53" s="170"/>
      <c r="L53" s="170"/>
      <c r="M53" s="171"/>
      <c r="N53" s="172"/>
      <c r="O53" s="172"/>
      <c r="P53" s="172"/>
      <c r="Q53" s="172"/>
      <c r="R53" s="172"/>
      <c r="S53" s="162"/>
      <c r="T53" s="124"/>
      <c r="U53" s="134"/>
      <c r="V53" s="143"/>
      <c r="W53" s="163"/>
    </row>
    <row r="54" spans="1:23" s="85" customFormat="1" ht="49.5" customHeight="1" thickBot="1">
      <c r="A54" s="275"/>
      <c r="B54" s="276" t="s">
        <v>66</v>
      </c>
      <c r="C54" s="277"/>
      <c r="D54" s="171"/>
      <c r="E54" s="175">
        <f>+D52+E52</f>
        <v>-38402</v>
      </c>
      <c r="F54" s="175">
        <f>+E54+F52</f>
        <v>-49988</v>
      </c>
      <c r="G54" s="175">
        <f t="shared" ref="G54:N54" si="25">+F54+G52</f>
        <v>-57274</v>
      </c>
      <c r="H54" s="175">
        <f t="shared" si="25"/>
        <v>-55610</v>
      </c>
      <c r="I54" s="175">
        <f t="shared" si="25"/>
        <v>-12656</v>
      </c>
      <c r="J54" s="175">
        <f t="shared" si="25"/>
        <v>29540</v>
      </c>
      <c r="K54" s="175">
        <f t="shared" si="25"/>
        <v>36554</v>
      </c>
      <c r="L54" s="175">
        <f t="shared" si="25"/>
        <v>49678</v>
      </c>
      <c r="M54" s="175">
        <f t="shared" si="25"/>
        <v>64382</v>
      </c>
      <c r="N54" s="175">
        <f t="shared" si="25"/>
        <v>61936</v>
      </c>
      <c r="O54" s="234">
        <f>+N54+O52</f>
        <v>42500</v>
      </c>
      <c r="P54" s="176"/>
      <c r="Q54" s="177"/>
      <c r="R54" s="171"/>
      <c r="S54" s="167">
        <f>S40+S52</f>
        <v>5999.5599999999977</v>
      </c>
      <c r="T54" s="124"/>
      <c r="U54" s="134"/>
      <c r="V54" s="143"/>
      <c r="W54" s="422">
        <f>W40+W52</f>
        <v>9034.36</v>
      </c>
    </row>
    <row r="55" spans="1:23" s="85" customFormat="1" ht="49.5" customHeight="1" thickTop="1">
      <c r="A55" s="171"/>
      <c r="B55" s="171"/>
      <c r="C55" s="171"/>
      <c r="D55" s="171"/>
      <c r="E55" s="175"/>
      <c r="F55" s="175"/>
      <c r="G55" s="175"/>
      <c r="H55" s="175"/>
      <c r="I55" s="175"/>
      <c r="J55" s="175"/>
      <c r="K55" s="171"/>
      <c r="L55" s="171"/>
      <c r="M55" s="171"/>
      <c r="N55" s="171"/>
      <c r="O55" s="171"/>
      <c r="P55" s="171"/>
      <c r="Q55" s="171"/>
      <c r="R55" s="171"/>
      <c r="S55" s="443"/>
      <c r="T55" s="124"/>
      <c r="U55" s="134"/>
      <c r="V55" s="143"/>
      <c r="W55" s="444"/>
    </row>
    <row r="56" spans="1:23" s="15" customFormat="1" ht="28.5" customHeight="1">
      <c r="A56" s="173"/>
      <c r="B56" s="174"/>
      <c r="C56" s="174"/>
      <c r="D56" s="171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8" t="s">
        <v>67</v>
      </c>
      <c r="P56" s="176"/>
      <c r="Q56" s="278">
        <f>+Q52+Q40</f>
        <v>0</v>
      </c>
      <c r="R56" s="171"/>
      <c r="S56" s="51"/>
      <c r="T56" s="124"/>
      <c r="U56" s="134"/>
      <c r="V56" s="143"/>
      <c r="W56" s="143"/>
    </row>
    <row r="57" spans="1:23" s="15" customFormat="1" ht="24.75" customHeight="1">
      <c r="A57" s="173"/>
      <c r="B57" s="173"/>
      <c r="C57" s="173"/>
      <c r="D57" s="173"/>
      <c r="E57" s="173"/>
      <c r="F57" s="173"/>
      <c r="G57" s="173"/>
      <c r="H57" s="173"/>
      <c r="I57" s="173"/>
      <c r="J57" s="173"/>
      <c r="K57" s="175"/>
      <c r="L57" s="175"/>
      <c r="M57" s="175"/>
      <c r="N57" s="173"/>
      <c r="O57" s="173"/>
      <c r="P57" s="173"/>
      <c r="Q57" s="173"/>
      <c r="R57" s="132"/>
      <c r="S57" s="173"/>
      <c r="T57" s="173"/>
      <c r="U57" s="51"/>
      <c r="V57" s="143"/>
      <c r="W57" s="143"/>
    </row>
    <row r="58" spans="1:23" s="15" customFormat="1" ht="27" customHeight="1">
      <c r="A58" s="173"/>
      <c r="E58" s="175"/>
      <c r="F58" s="175"/>
      <c r="G58" s="175"/>
      <c r="H58" s="175"/>
      <c r="I58" s="175"/>
      <c r="J58" s="175"/>
      <c r="K58" s="175"/>
      <c r="L58" s="175"/>
      <c r="M58" s="175"/>
      <c r="N58" s="173"/>
      <c r="O58" s="173"/>
      <c r="P58" s="173"/>
      <c r="Q58" s="173"/>
      <c r="R58" s="132"/>
      <c r="S58" s="51"/>
      <c r="T58" s="51"/>
      <c r="U58" s="51"/>
    </row>
    <row r="59" spans="1:23" s="15" customFormat="1" ht="27" customHeight="1">
      <c r="A59" s="173"/>
      <c r="E59" s="175"/>
      <c r="F59" s="175"/>
      <c r="G59" s="175"/>
      <c r="H59" s="175"/>
      <c r="I59" s="175"/>
      <c r="J59" s="175"/>
      <c r="K59" s="175"/>
      <c r="L59" s="175"/>
      <c r="M59" s="175"/>
      <c r="N59" s="173"/>
      <c r="O59" s="173"/>
      <c r="P59" s="11"/>
      <c r="Q59" s="173"/>
      <c r="R59" s="132"/>
      <c r="S59" s="51"/>
      <c r="T59" s="51"/>
      <c r="U59" s="51"/>
    </row>
    <row r="60" spans="1:23" s="15" customFormat="1">
      <c r="A60" s="173"/>
      <c r="G60" s="175"/>
      <c r="H60" s="175"/>
      <c r="I60" s="175"/>
      <c r="J60" s="175"/>
      <c r="K60" s="175"/>
      <c r="L60" s="175"/>
      <c r="M60" s="175"/>
      <c r="N60" s="173"/>
      <c r="O60" s="173"/>
      <c r="P60" s="11"/>
      <c r="Q60" s="173"/>
      <c r="R60" s="132"/>
      <c r="S60" s="51"/>
      <c r="T60" s="51"/>
      <c r="U60" s="51"/>
    </row>
    <row r="61" spans="1:23" s="15" customFormat="1">
      <c r="A61" s="173"/>
      <c r="B61" s="173"/>
      <c r="C61" s="173"/>
      <c r="D61" s="171"/>
      <c r="E61" s="171"/>
      <c r="F61" s="171"/>
      <c r="G61" s="175"/>
      <c r="H61" s="175"/>
      <c r="I61" s="175"/>
      <c r="J61" s="175"/>
      <c r="K61" s="175"/>
      <c r="L61" s="175"/>
      <c r="M61" s="175"/>
      <c r="N61" s="173"/>
      <c r="O61" s="173"/>
      <c r="P61" s="11"/>
      <c r="Q61" s="173"/>
      <c r="R61" s="132"/>
      <c r="S61" s="51"/>
      <c r="T61" s="51"/>
      <c r="U61" s="51"/>
    </row>
    <row r="62" spans="1:23" s="15" customFormat="1">
      <c r="A62" s="173"/>
      <c r="B62" s="173"/>
      <c r="C62" s="173"/>
      <c r="D62" s="171"/>
      <c r="E62" s="171"/>
      <c r="F62" s="171"/>
      <c r="G62" s="175"/>
      <c r="H62" s="175"/>
      <c r="I62" s="175"/>
      <c r="J62" s="175"/>
      <c r="K62" s="175"/>
      <c r="L62" s="175"/>
      <c r="M62" s="175"/>
      <c r="N62" s="173"/>
      <c r="O62" s="173"/>
      <c r="P62" s="11"/>
      <c r="Q62" s="173"/>
      <c r="R62" s="132"/>
      <c r="S62" s="51"/>
      <c r="T62" s="51"/>
      <c r="U62" s="51"/>
    </row>
    <row r="63" spans="1:23" s="15" customFormat="1">
      <c r="A63" s="173"/>
      <c r="B63" s="173"/>
      <c r="C63" s="173"/>
      <c r="D63" s="171"/>
      <c r="E63" s="171"/>
      <c r="F63" s="171"/>
      <c r="G63" s="175"/>
      <c r="H63" s="175"/>
      <c r="I63" s="175"/>
      <c r="J63" s="175"/>
      <c r="K63" s="175"/>
      <c r="L63" s="175"/>
      <c r="M63" s="175"/>
      <c r="N63" s="173"/>
      <c r="O63" s="173"/>
      <c r="P63" s="11"/>
      <c r="Q63" s="173"/>
      <c r="R63" s="132"/>
      <c r="S63" s="51"/>
      <c r="T63" s="51"/>
      <c r="U63" s="51"/>
    </row>
    <row r="64" spans="1:23" s="15" customFormat="1">
      <c r="A64" s="173"/>
      <c r="B64" s="173"/>
      <c r="C64" s="173"/>
      <c r="D64" s="171"/>
      <c r="E64" s="171"/>
      <c r="F64" s="171"/>
      <c r="G64" s="175"/>
      <c r="H64" s="175"/>
      <c r="I64" s="175"/>
      <c r="J64" s="175"/>
      <c r="K64" s="175"/>
      <c r="L64" s="175"/>
      <c r="M64" s="175"/>
      <c r="N64" s="173"/>
      <c r="O64" s="173"/>
      <c r="P64" s="11"/>
      <c r="Q64" s="173"/>
      <c r="R64" s="132"/>
      <c r="S64" s="51"/>
      <c r="T64" s="51"/>
      <c r="U64" s="51"/>
    </row>
    <row r="65" spans="1:21" s="15" customFormat="1" ht="28.5" customHeight="1">
      <c r="A65" s="173"/>
      <c r="B65" s="173"/>
      <c r="C65" s="173"/>
      <c r="D65" s="171"/>
      <c r="E65" s="171"/>
      <c r="F65" s="171"/>
      <c r="G65" s="175"/>
      <c r="H65" s="175"/>
      <c r="I65" s="175"/>
      <c r="J65" s="175"/>
      <c r="K65" s="175"/>
      <c r="L65" s="175"/>
      <c r="M65" s="175"/>
      <c r="N65" s="173"/>
      <c r="O65" s="173"/>
      <c r="P65" s="173"/>
      <c r="Q65" s="173"/>
      <c r="R65" s="132"/>
      <c r="S65" s="51"/>
      <c r="T65" s="51"/>
      <c r="U65" s="51"/>
    </row>
    <row r="66" spans="1:21" s="15" customFormat="1" ht="28.5" customHeight="1">
      <c r="A66" s="173"/>
      <c r="B66" s="173"/>
      <c r="C66" s="173"/>
      <c r="D66" s="171"/>
      <c r="E66" s="171"/>
      <c r="F66" s="171"/>
      <c r="G66" s="175"/>
      <c r="H66" s="175"/>
      <c r="I66" s="175"/>
      <c r="J66" s="175"/>
      <c r="K66" s="175"/>
      <c r="L66" s="175"/>
      <c r="M66" s="175"/>
      <c r="N66" s="173"/>
      <c r="O66" s="173"/>
      <c r="P66" s="173"/>
      <c r="Q66" s="173"/>
      <c r="R66" s="132"/>
      <c r="S66" s="51"/>
      <c r="T66" s="51"/>
      <c r="U66" s="51"/>
    </row>
    <row r="67" spans="1:21" s="15" customFormat="1" ht="28.5" customHeight="1">
      <c r="A67" s="182"/>
      <c r="B67" s="182"/>
      <c r="C67" s="182"/>
      <c r="D67" s="171"/>
      <c r="E67" s="171"/>
      <c r="F67" s="171"/>
      <c r="G67" s="175"/>
      <c r="H67" s="175"/>
      <c r="I67" s="175"/>
      <c r="J67" s="175"/>
      <c r="K67" s="175"/>
      <c r="L67" s="175"/>
      <c r="M67" s="175"/>
      <c r="N67" s="173"/>
      <c r="O67" s="173"/>
      <c r="P67" s="173"/>
      <c r="Q67" s="173"/>
      <c r="R67" s="132"/>
      <c r="S67" s="51"/>
      <c r="T67" s="51"/>
      <c r="U67" s="51"/>
    </row>
    <row r="68" spans="1:21" s="15" customFormat="1" ht="21" customHeight="1">
      <c r="A68" s="768" t="s">
        <v>11</v>
      </c>
      <c r="B68" s="768"/>
      <c r="C68" s="446"/>
      <c r="D68" s="171"/>
      <c r="E68" s="171"/>
      <c r="F68" s="171"/>
      <c r="G68" s="175"/>
      <c r="H68" s="175"/>
      <c r="I68" s="175"/>
      <c r="J68" s="175"/>
      <c r="K68" s="175"/>
      <c r="L68" s="175"/>
      <c r="M68" s="175"/>
      <c r="N68" s="173"/>
      <c r="O68" s="173"/>
      <c r="P68" s="173"/>
      <c r="Q68" s="173"/>
      <c r="R68" s="132"/>
      <c r="S68" s="51"/>
      <c r="T68" s="51"/>
      <c r="U68" s="51"/>
    </row>
    <row r="69" spans="1:21" s="15" customFormat="1" ht="21" customHeight="1">
      <c r="A69" s="176"/>
      <c r="B69" s="176"/>
      <c r="C69" s="176"/>
      <c r="D69" s="171"/>
      <c r="E69" s="171"/>
      <c r="F69" s="171"/>
      <c r="G69" s="175"/>
      <c r="H69" s="175"/>
      <c r="I69" s="175"/>
      <c r="J69" s="175"/>
      <c r="K69" s="175"/>
      <c r="L69" s="175"/>
      <c r="M69" s="175"/>
      <c r="N69" s="171"/>
      <c r="O69" s="171"/>
      <c r="P69" s="171"/>
      <c r="Q69" s="171"/>
      <c r="R69" s="132"/>
      <c r="S69" s="51"/>
      <c r="T69" s="51"/>
      <c r="U69" s="51"/>
    </row>
    <row r="70" spans="1:21" s="15" customFormat="1" ht="21" customHeight="1">
      <c r="A70" s="176"/>
      <c r="B70" s="176"/>
      <c r="C70" s="176"/>
      <c r="D70" s="171"/>
      <c r="E70" s="171"/>
      <c r="F70" s="171"/>
      <c r="G70" s="175"/>
      <c r="H70" s="175"/>
      <c r="I70" s="175"/>
      <c r="J70" s="175"/>
      <c r="K70" s="175"/>
      <c r="L70" s="175"/>
      <c r="M70" s="175"/>
      <c r="N70" s="171"/>
      <c r="O70" s="171"/>
      <c r="P70" s="171"/>
      <c r="Q70" s="171"/>
      <c r="R70" s="132"/>
      <c r="S70" s="51"/>
      <c r="T70" s="51"/>
      <c r="U70" s="51"/>
    </row>
    <row r="71" spans="1:21" s="15" customFormat="1" ht="27" customHeight="1">
      <c r="A71" s="176"/>
      <c r="B71" s="176"/>
      <c r="C71" s="176"/>
      <c r="D71" s="171"/>
      <c r="E71" s="171"/>
      <c r="F71" s="171"/>
      <c r="G71" s="175"/>
      <c r="H71" s="175"/>
      <c r="I71" s="175"/>
      <c r="J71" s="175"/>
      <c r="K71" s="175"/>
      <c r="L71" s="175"/>
      <c r="M71" s="175"/>
      <c r="N71" s="171"/>
      <c r="O71" s="171"/>
      <c r="P71" s="171"/>
      <c r="Q71" s="171"/>
      <c r="R71" s="171"/>
      <c r="S71" s="51"/>
      <c r="T71" s="51"/>
      <c r="U71" s="51"/>
    </row>
    <row r="72" spans="1:21" s="15" customFormat="1" ht="21" customHeight="1">
      <c r="A72" s="176"/>
      <c r="B72" s="176"/>
      <c r="C72" s="176"/>
      <c r="D72" s="171"/>
      <c r="E72" s="171"/>
      <c r="F72" s="171"/>
      <c r="G72" s="175"/>
      <c r="H72" s="175"/>
      <c r="I72" s="175"/>
      <c r="J72" s="175"/>
      <c r="K72" s="175"/>
      <c r="L72" s="175"/>
      <c r="M72" s="175"/>
      <c r="N72" s="171"/>
      <c r="O72" s="171"/>
      <c r="P72" s="171"/>
      <c r="Q72" s="171"/>
      <c r="R72" s="171"/>
      <c r="S72" s="51"/>
      <c r="T72" s="51"/>
      <c r="U72" s="51"/>
    </row>
    <row r="73" spans="1:21" s="15" customFormat="1" ht="21" customHeight="1">
      <c r="A73" s="176"/>
      <c r="B73" s="176"/>
      <c r="C73" s="176"/>
      <c r="D73" s="171"/>
      <c r="E73" s="171"/>
      <c r="F73" s="171"/>
      <c r="G73" s="175"/>
      <c r="H73" s="175"/>
      <c r="I73" s="175"/>
      <c r="J73" s="175"/>
      <c r="K73" s="175"/>
      <c r="L73" s="175"/>
      <c r="M73" s="175"/>
      <c r="N73" s="171"/>
      <c r="O73" s="171"/>
      <c r="P73" s="171"/>
      <c r="Q73" s="171"/>
      <c r="R73" s="171"/>
      <c r="S73" s="51"/>
      <c r="T73" s="51"/>
      <c r="U73" s="51"/>
    </row>
    <row r="74" spans="1:21" s="15" customFormat="1" ht="21" customHeight="1">
      <c r="A74" s="176"/>
      <c r="B74" s="176"/>
      <c r="C74" s="176"/>
      <c r="D74" s="171"/>
      <c r="E74" s="171"/>
      <c r="F74" s="171"/>
      <c r="G74" s="175"/>
      <c r="H74" s="175"/>
      <c r="I74" s="175"/>
      <c r="J74" s="175"/>
      <c r="K74" s="175"/>
      <c r="L74" s="175"/>
      <c r="M74" s="175"/>
      <c r="N74" s="171"/>
      <c r="O74" s="171"/>
      <c r="P74" s="171"/>
      <c r="Q74" s="171"/>
      <c r="R74" s="171"/>
      <c r="S74" s="51"/>
      <c r="T74" s="51"/>
      <c r="U74" s="51"/>
    </row>
    <row r="75" spans="1:21" s="15" customFormat="1" ht="21" customHeight="1">
      <c r="A75" s="176"/>
      <c r="B75" s="176"/>
      <c r="C75" s="176"/>
      <c r="D75" s="171"/>
      <c r="E75" s="171"/>
      <c r="F75" s="171"/>
      <c r="G75" s="175"/>
      <c r="H75" s="175"/>
      <c r="I75" s="175"/>
      <c r="J75" s="175"/>
      <c r="K75" s="175"/>
      <c r="L75" s="175"/>
      <c r="M75" s="175"/>
      <c r="N75" s="171"/>
      <c r="O75" s="171"/>
      <c r="P75" s="171"/>
      <c r="Q75" s="171"/>
      <c r="R75" s="171"/>
      <c r="S75" s="51"/>
      <c r="T75" s="51"/>
      <c r="U75" s="51"/>
    </row>
    <row r="76" spans="1:21" ht="21" customHeight="1">
      <c r="A76" s="15"/>
      <c r="B76" s="15"/>
      <c r="C76" s="15"/>
      <c r="D76" s="171"/>
      <c r="E76" s="171"/>
      <c r="F76" s="171"/>
      <c r="G76" s="175"/>
      <c r="H76" s="175"/>
      <c r="I76" s="175"/>
      <c r="J76" s="175"/>
      <c r="K76" s="175"/>
      <c r="L76" s="175"/>
      <c r="M76" s="175"/>
      <c r="N76" s="171"/>
      <c r="O76" s="171"/>
      <c r="P76" s="171"/>
      <c r="Q76" s="171"/>
      <c r="R76" s="171"/>
    </row>
    <row r="77" spans="1:21" ht="21" customHeight="1">
      <c r="A77" s="15"/>
      <c r="B77" s="15"/>
      <c r="C77" s="15"/>
      <c r="D77" s="171"/>
      <c r="E77" s="171"/>
      <c r="F77" s="171"/>
      <c r="G77" s="175"/>
      <c r="H77" s="175"/>
      <c r="I77" s="175"/>
      <c r="J77" s="175"/>
      <c r="K77" s="175"/>
      <c r="L77" s="175"/>
      <c r="M77" s="175"/>
      <c r="N77" s="171"/>
      <c r="O77" s="171"/>
      <c r="P77" s="171"/>
      <c r="Q77" s="171"/>
      <c r="R77" s="171"/>
    </row>
    <row r="78" spans="1:21" ht="21" customHeight="1">
      <c r="A78" s="15"/>
      <c r="B78" s="15"/>
      <c r="C78" s="15"/>
      <c r="G78" s="175"/>
      <c r="H78" s="175"/>
      <c r="I78" s="175"/>
      <c r="J78" s="175"/>
      <c r="K78" s="175"/>
      <c r="L78" s="175"/>
      <c r="M78" s="175"/>
    </row>
    <row r="79" spans="1:21" ht="15.75" customHeight="1">
      <c r="A79" s="15"/>
      <c r="B79" s="15"/>
      <c r="C79" s="15"/>
      <c r="G79" s="175"/>
      <c r="H79" s="175"/>
      <c r="I79" s="175"/>
      <c r="J79" s="175"/>
      <c r="K79" s="175"/>
      <c r="L79" s="175"/>
      <c r="M79" s="175"/>
    </row>
    <row r="80" spans="1:21">
      <c r="A80" s="15"/>
      <c r="B80" s="15"/>
      <c r="C80" s="15"/>
      <c r="G80" s="175"/>
      <c r="H80" s="175"/>
      <c r="I80" s="175"/>
      <c r="J80" s="175"/>
      <c r="K80" s="175"/>
      <c r="L80" s="175"/>
      <c r="M80" s="175"/>
    </row>
    <row r="81" spans="1:13">
      <c r="A81" s="15"/>
      <c r="B81" s="15"/>
      <c r="C81" s="15"/>
      <c r="G81" s="175"/>
      <c r="H81" s="175"/>
      <c r="I81" s="175"/>
      <c r="J81" s="175"/>
      <c r="K81" s="175"/>
      <c r="L81" s="175"/>
      <c r="M81" s="175"/>
    </row>
    <row r="82" spans="1:13">
      <c r="A82" s="15"/>
      <c r="B82" s="15"/>
      <c r="C82" s="15"/>
      <c r="G82" s="175"/>
      <c r="H82" s="175"/>
      <c r="I82" s="175"/>
      <c r="J82" s="175"/>
      <c r="K82" s="175"/>
      <c r="L82" s="175"/>
      <c r="M82" s="175"/>
    </row>
    <row r="83" spans="1:13">
      <c r="A83" s="15"/>
      <c r="B83" s="15"/>
      <c r="C83" s="15"/>
      <c r="G83" s="175"/>
      <c r="H83" s="175"/>
      <c r="I83" s="175"/>
      <c r="J83" s="175"/>
      <c r="K83" s="175"/>
      <c r="L83" s="175"/>
      <c r="M83" s="175"/>
    </row>
    <row r="84" spans="1:13">
      <c r="A84" s="15"/>
      <c r="B84" s="15"/>
      <c r="C84" s="15"/>
      <c r="G84" s="175"/>
      <c r="H84" s="175"/>
      <c r="I84" s="175"/>
      <c r="J84" s="175"/>
      <c r="K84" s="175"/>
      <c r="L84" s="175"/>
      <c r="M84" s="175"/>
    </row>
    <row r="85" spans="1:13">
      <c r="A85" s="15"/>
      <c r="B85" s="15"/>
      <c r="C85" s="15"/>
      <c r="G85" s="175"/>
      <c r="H85" s="175"/>
      <c r="I85" s="175"/>
      <c r="J85" s="175"/>
      <c r="K85" s="175"/>
      <c r="L85" s="175"/>
      <c r="M85" s="175"/>
    </row>
    <row r="86" spans="1:13">
      <c r="G86" s="175"/>
      <c r="H86" s="175"/>
      <c r="I86" s="175"/>
      <c r="J86" s="175"/>
      <c r="K86" s="175"/>
      <c r="L86" s="175"/>
      <c r="M86" s="175"/>
    </row>
    <row r="87" spans="1:13">
      <c r="G87" s="175"/>
      <c r="H87" s="175"/>
      <c r="I87" s="175"/>
      <c r="J87" s="175"/>
      <c r="K87" s="175"/>
      <c r="L87" s="175"/>
      <c r="M87" s="175"/>
    </row>
    <row r="88" spans="1:13">
      <c r="G88" s="175"/>
      <c r="H88" s="175"/>
      <c r="I88" s="175"/>
      <c r="J88" s="175"/>
      <c r="K88" s="175"/>
      <c r="L88" s="175"/>
      <c r="M88" s="175"/>
    </row>
    <row r="89" spans="1:13">
      <c r="G89" s="175"/>
      <c r="H89" s="175"/>
      <c r="I89" s="175"/>
      <c r="J89" s="175"/>
      <c r="K89" s="175"/>
      <c r="L89" s="175"/>
      <c r="M89" s="175"/>
    </row>
  </sheetData>
  <mergeCells count="5">
    <mergeCell ref="D1:Q1"/>
    <mergeCell ref="D2:Q2"/>
    <mergeCell ref="I3:K3"/>
    <mergeCell ref="H4:M4"/>
    <mergeCell ref="A68:B68"/>
  </mergeCells>
  <printOptions horizontalCentered="1"/>
  <pageMargins left="0.25" right="0.25" top="0.75" bottom="0.25" header="0.25" footer="0.1"/>
  <pageSetup scale="31" orientation="landscape" horizontalDpi="300" verticalDpi="300" r:id="rId1"/>
  <headerFooter alignWithMargins="0">
    <oddFooter>&amp;R&amp;"Arial,Regular"&amp;10Date: &amp;D</oddFooter>
  </headerFooter>
  <rowBreaks count="1" manualBreakCount="1">
    <brk id="52" max="16" man="1"/>
  </rowBreaks>
  <colBreaks count="1" manualBreakCount="1">
    <brk id="9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8D060-14C0-4781-BAA0-FEA5518E17C7}">
  <sheetPr>
    <tabColor rgb="FFCCCCFF"/>
  </sheetPr>
  <dimension ref="A1:N108"/>
  <sheetViews>
    <sheetView topLeftCell="A25" workbookViewId="0">
      <selection activeCell="F36" sqref="F36"/>
    </sheetView>
  </sheetViews>
  <sheetFormatPr defaultColWidth="8.77734375" defaultRowHeight="14.25"/>
  <cols>
    <col min="1" max="1" width="24.44140625" style="514" customWidth="1"/>
    <col min="2" max="4" width="9.44140625" style="514" bestFit="1" customWidth="1"/>
    <col min="5" max="6" width="8.77734375" style="514" bestFit="1" customWidth="1"/>
    <col min="7" max="7" width="8.6640625" style="514" bestFit="1" customWidth="1"/>
    <col min="8" max="8" width="8.109375" style="514" bestFit="1" customWidth="1"/>
    <col min="9" max="13" width="9.44140625" style="514" bestFit="1" customWidth="1"/>
    <col min="14" max="14" width="11" style="535" bestFit="1" customWidth="1"/>
    <col min="15" max="16384" width="8.77734375" style="514"/>
  </cols>
  <sheetData>
    <row r="1" spans="1:14" ht="15.75">
      <c r="A1" s="781" t="s">
        <v>269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</row>
    <row r="2" spans="1:14" ht="15.75">
      <c r="A2" s="781" t="s">
        <v>268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</row>
    <row r="3" spans="1:14" ht="18">
      <c r="A3" s="782" t="s">
        <v>299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  <c r="N3" s="782"/>
    </row>
    <row r="4" spans="1:14" ht="18">
      <c r="A4" s="782" t="s">
        <v>313</v>
      </c>
      <c r="B4" s="782"/>
      <c r="C4" s="782"/>
      <c r="D4" s="782"/>
      <c r="E4" s="782"/>
      <c r="F4" s="782"/>
      <c r="G4" s="782"/>
      <c r="H4" s="782"/>
      <c r="I4" s="782"/>
      <c r="J4" s="782"/>
      <c r="K4" s="782"/>
      <c r="L4" s="782"/>
      <c r="M4" s="782"/>
      <c r="N4" s="782"/>
    </row>
    <row r="5" spans="1:14" ht="18">
      <c r="A5" s="782" t="s">
        <v>266</v>
      </c>
      <c r="B5" s="782"/>
      <c r="C5" s="782"/>
      <c r="D5" s="782"/>
      <c r="E5" s="782"/>
      <c r="F5" s="782"/>
      <c r="G5" s="782"/>
      <c r="H5" s="782"/>
      <c r="I5" s="782"/>
      <c r="J5" s="782"/>
      <c r="K5" s="782"/>
      <c r="L5" s="782"/>
      <c r="M5" s="782"/>
      <c r="N5" s="782"/>
    </row>
    <row r="6" spans="1:14" s="532" customFormat="1" ht="15">
      <c r="A6" s="531" t="s">
        <v>265</v>
      </c>
      <c r="B6" s="494" t="s">
        <v>298</v>
      </c>
      <c r="C6" s="494" t="s">
        <v>297</v>
      </c>
      <c r="D6" s="494" t="s">
        <v>296</v>
      </c>
      <c r="E6" s="494" t="s">
        <v>295</v>
      </c>
      <c r="F6" s="494" t="s">
        <v>294</v>
      </c>
      <c r="G6" s="494" t="s">
        <v>293</v>
      </c>
      <c r="H6" s="494" t="s">
        <v>292</v>
      </c>
      <c r="I6" s="494" t="s">
        <v>291</v>
      </c>
      <c r="J6" s="494" t="s">
        <v>312</v>
      </c>
      <c r="K6" s="531" t="s">
        <v>311</v>
      </c>
      <c r="L6" s="494" t="s">
        <v>310</v>
      </c>
      <c r="M6" s="494" t="s">
        <v>309</v>
      </c>
      <c r="N6" s="533" t="s">
        <v>257</v>
      </c>
    </row>
    <row r="7" spans="1:14" s="532" customFormat="1" ht="15">
      <c r="A7" s="531" t="s">
        <v>256</v>
      </c>
      <c r="B7" s="494" t="s">
        <v>255</v>
      </c>
      <c r="C7" s="494" t="s">
        <v>255</v>
      </c>
      <c r="D7" s="494" t="s">
        <v>255</v>
      </c>
      <c r="E7" s="494" t="s">
        <v>255</v>
      </c>
      <c r="F7" s="494" t="s">
        <v>255</v>
      </c>
      <c r="G7" s="494" t="s">
        <v>255</v>
      </c>
      <c r="H7" s="494" t="s">
        <v>255</v>
      </c>
      <c r="I7" s="494" t="s">
        <v>255</v>
      </c>
      <c r="J7" s="494" t="s">
        <v>255</v>
      </c>
      <c r="K7" s="531" t="s">
        <v>255</v>
      </c>
      <c r="L7" s="494" t="s">
        <v>255</v>
      </c>
      <c r="M7" s="494" t="s">
        <v>255</v>
      </c>
      <c r="N7" s="533" t="s">
        <v>255</v>
      </c>
    </row>
    <row r="8" spans="1:14" ht="15">
      <c r="A8" s="523" t="s">
        <v>254</v>
      </c>
      <c r="B8" s="520"/>
      <c r="C8" s="520"/>
      <c r="D8" s="520"/>
      <c r="E8" s="520"/>
      <c r="F8" s="520"/>
      <c r="G8" s="520"/>
      <c r="H8" s="520"/>
      <c r="I8" s="520"/>
      <c r="J8" s="520"/>
      <c r="K8" s="520"/>
      <c r="L8" s="520"/>
      <c r="M8" s="520"/>
      <c r="N8" s="534"/>
    </row>
    <row r="9" spans="1:14" ht="15">
      <c r="A9" s="522" t="s">
        <v>253</v>
      </c>
      <c r="B9" s="520"/>
      <c r="C9" s="520"/>
      <c r="D9" s="520"/>
      <c r="E9" s="520"/>
      <c r="F9" s="520"/>
      <c r="G9" s="520"/>
      <c r="H9" s="520"/>
      <c r="I9" s="520"/>
      <c r="J9" s="520"/>
      <c r="K9" s="520"/>
      <c r="L9" s="520"/>
      <c r="M9" s="520"/>
      <c r="N9" s="534"/>
    </row>
    <row r="10" spans="1:14" ht="15">
      <c r="A10" s="521" t="s">
        <v>252</v>
      </c>
      <c r="B10" s="520"/>
      <c r="C10" s="520"/>
      <c r="D10" s="520"/>
      <c r="E10" s="520"/>
      <c r="F10" s="520"/>
      <c r="G10" s="520"/>
      <c r="H10" s="520"/>
      <c r="I10" s="520"/>
      <c r="J10" s="520"/>
      <c r="K10" s="520"/>
      <c r="L10" s="520"/>
      <c r="M10" s="520"/>
      <c r="N10" s="534"/>
    </row>
    <row r="11" spans="1:14">
      <c r="A11" s="519" t="s">
        <v>251</v>
      </c>
      <c r="B11" s="518">
        <v>0</v>
      </c>
      <c r="C11" s="518">
        <v>0</v>
      </c>
      <c r="D11" s="518">
        <v>0</v>
      </c>
      <c r="E11" s="518">
        <v>0</v>
      </c>
      <c r="F11" s="518">
        <v>2430</v>
      </c>
      <c r="G11" s="518">
        <v>0</v>
      </c>
      <c r="H11" s="518">
        <v>0</v>
      </c>
      <c r="I11" s="518">
        <v>142.5</v>
      </c>
      <c r="J11" s="518">
        <v>1626.5</v>
      </c>
      <c r="K11" s="518">
        <v>1748</v>
      </c>
      <c r="L11" s="518">
        <v>0</v>
      </c>
      <c r="M11" s="518">
        <v>0</v>
      </c>
      <c r="N11" s="536">
        <f>SUM(B11:M11)</f>
        <v>5947</v>
      </c>
    </row>
    <row r="12" spans="1:14">
      <c r="A12" s="519" t="s">
        <v>250</v>
      </c>
      <c r="B12" s="518">
        <v>0</v>
      </c>
      <c r="C12" s="518">
        <v>0</v>
      </c>
      <c r="D12" s="518">
        <v>0</v>
      </c>
      <c r="E12" s="518">
        <v>0</v>
      </c>
      <c r="F12" s="518">
        <v>964.5</v>
      </c>
      <c r="G12" s="518">
        <v>17237.5</v>
      </c>
      <c r="H12" s="518">
        <v>25012.5</v>
      </c>
      <c r="I12" s="518">
        <v>0</v>
      </c>
      <c r="J12" s="518">
        <v>1209</v>
      </c>
      <c r="K12" s="518">
        <v>2396.02</v>
      </c>
      <c r="L12" s="518">
        <v>380</v>
      </c>
      <c r="M12" s="518">
        <v>280</v>
      </c>
      <c r="N12" s="536">
        <f>SUM(B12:M12)</f>
        <v>47479.519999999997</v>
      </c>
    </row>
    <row r="13" spans="1:14" ht="15">
      <c r="A13" s="517" t="s">
        <v>249</v>
      </c>
      <c r="B13" s="515">
        <f t="shared" ref="B13:N13" si="0">SUM(B11:B12)</f>
        <v>0</v>
      </c>
      <c r="C13" s="515">
        <f t="shared" si="0"/>
        <v>0</v>
      </c>
      <c r="D13" s="515">
        <f t="shared" si="0"/>
        <v>0</v>
      </c>
      <c r="E13" s="515">
        <f t="shared" si="0"/>
        <v>0</v>
      </c>
      <c r="F13" s="515">
        <f t="shared" si="0"/>
        <v>3394.5</v>
      </c>
      <c r="G13" s="515">
        <f t="shared" si="0"/>
        <v>17237.5</v>
      </c>
      <c r="H13" s="515">
        <f t="shared" si="0"/>
        <v>25012.5</v>
      </c>
      <c r="I13" s="515">
        <f t="shared" si="0"/>
        <v>142.5</v>
      </c>
      <c r="J13" s="515">
        <f t="shared" si="0"/>
        <v>2835.5</v>
      </c>
      <c r="K13" s="515">
        <f t="shared" si="0"/>
        <v>4144.0200000000004</v>
      </c>
      <c r="L13" s="515">
        <f t="shared" si="0"/>
        <v>380</v>
      </c>
      <c r="M13" s="515">
        <f t="shared" si="0"/>
        <v>280</v>
      </c>
      <c r="N13" s="537">
        <f t="shared" si="0"/>
        <v>53426.52</v>
      </c>
    </row>
    <row r="14" spans="1:14">
      <c r="A14" s="530" t="s">
        <v>248</v>
      </c>
      <c r="B14" s="518">
        <v>0</v>
      </c>
      <c r="C14" s="518">
        <v>0</v>
      </c>
      <c r="D14" s="518">
        <v>135</v>
      </c>
      <c r="E14" s="518">
        <v>8781.15</v>
      </c>
      <c r="F14" s="518">
        <v>5852.25</v>
      </c>
      <c r="G14" s="518">
        <v>24304.07</v>
      </c>
      <c r="H14" s="518">
        <v>37495.1</v>
      </c>
      <c r="I14" s="518">
        <v>462.75</v>
      </c>
      <c r="J14" s="518">
        <v>18291.150000000001</v>
      </c>
      <c r="K14" s="518">
        <v>10217.5</v>
      </c>
      <c r="L14" s="518">
        <v>2430.6999999999998</v>
      </c>
      <c r="M14" s="518">
        <v>482.2</v>
      </c>
      <c r="N14" s="536">
        <f>SUM(B14:M14)</f>
        <v>108451.87</v>
      </c>
    </row>
    <row r="15" spans="1:14">
      <c r="A15" s="530" t="s">
        <v>290</v>
      </c>
      <c r="B15" s="518">
        <v>0</v>
      </c>
      <c r="C15" s="518">
        <v>0</v>
      </c>
      <c r="D15" s="518">
        <v>8530.92</v>
      </c>
      <c r="E15" s="518">
        <v>10910.92</v>
      </c>
      <c r="F15" s="518">
        <v>11369.81</v>
      </c>
      <c r="G15" s="518">
        <v>9769.84</v>
      </c>
      <c r="H15" s="518">
        <v>26563.32</v>
      </c>
      <c r="I15" s="518">
        <v>10655.19</v>
      </c>
      <c r="J15" s="518">
        <v>0</v>
      </c>
      <c r="K15" s="518">
        <v>0</v>
      </c>
      <c r="L15" s="518">
        <v>0</v>
      </c>
      <c r="M15" s="518">
        <v>0</v>
      </c>
      <c r="N15" s="536">
        <f>SUM(B15:M15)</f>
        <v>77800</v>
      </c>
    </row>
    <row r="16" spans="1:14">
      <c r="A16" s="530" t="s">
        <v>246</v>
      </c>
      <c r="B16" s="518">
        <v>0</v>
      </c>
      <c r="C16" s="518">
        <v>0</v>
      </c>
      <c r="D16" s="518">
        <v>0</v>
      </c>
      <c r="E16" s="518">
        <v>0</v>
      </c>
      <c r="F16" s="518">
        <v>0</v>
      </c>
      <c r="G16" s="518">
        <v>0</v>
      </c>
      <c r="H16" s="518">
        <v>0</v>
      </c>
      <c r="I16" s="518">
        <v>0</v>
      </c>
      <c r="J16" s="518">
        <v>49.21</v>
      </c>
      <c r="K16" s="518">
        <v>0</v>
      </c>
      <c r="L16" s="518">
        <v>0</v>
      </c>
      <c r="M16" s="518">
        <v>0</v>
      </c>
      <c r="N16" s="536">
        <f>SUM(B16:M16)</f>
        <v>49.21</v>
      </c>
    </row>
    <row r="17" spans="1:14" ht="11.25">
      <c r="A17" s="521" t="s">
        <v>245</v>
      </c>
      <c r="B17" s="520"/>
      <c r="C17" s="520"/>
      <c r="D17" s="520"/>
      <c r="E17" s="520"/>
      <c r="F17" s="520"/>
      <c r="G17" s="520"/>
      <c r="H17" s="520"/>
      <c r="I17" s="520"/>
      <c r="J17" s="520"/>
      <c r="K17" s="520"/>
      <c r="L17" s="520"/>
      <c r="M17" s="520"/>
      <c r="N17" s="520"/>
    </row>
    <row r="18" spans="1:14">
      <c r="A18" s="519" t="s">
        <v>245</v>
      </c>
      <c r="B18" s="518">
        <v>0</v>
      </c>
      <c r="C18" s="518">
        <v>0</v>
      </c>
      <c r="D18" s="518">
        <v>0</v>
      </c>
      <c r="E18" s="518">
        <v>85</v>
      </c>
      <c r="F18" s="518">
        <v>0</v>
      </c>
      <c r="G18" s="518">
        <v>1798.8</v>
      </c>
      <c r="H18" s="518">
        <v>1906.8</v>
      </c>
      <c r="I18" s="518">
        <v>0</v>
      </c>
      <c r="J18" s="518">
        <v>520</v>
      </c>
      <c r="K18" s="518">
        <v>125</v>
      </c>
      <c r="L18" s="518">
        <v>0</v>
      </c>
      <c r="M18" s="518">
        <v>0</v>
      </c>
      <c r="N18" s="536">
        <f>SUM(B18:M18)</f>
        <v>4435.6000000000004</v>
      </c>
    </row>
    <row r="19" spans="1:14">
      <c r="A19" s="519" t="s">
        <v>289</v>
      </c>
      <c r="B19" s="518">
        <v>0</v>
      </c>
      <c r="C19" s="518">
        <v>0</v>
      </c>
      <c r="D19" s="518">
        <v>0</v>
      </c>
      <c r="E19" s="518">
        <v>0</v>
      </c>
      <c r="F19" s="518">
        <v>300</v>
      </c>
      <c r="G19" s="518">
        <v>0</v>
      </c>
      <c r="H19" s="518">
        <v>0</v>
      </c>
      <c r="I19" s="518">
        <v>0</v>
      </c>
      <c r="J19" s="518">
        <v>0</v>
      </c>
      <c r="K19" s="518">
        <v>0</v>
      </c>
      <c r="L19" s="518">
        <v>0</v>
      </c>
      <c r="M19" s="518">
        <v>0</v>
      </c>
      <c r="N19" s="536">
        <f>SUM(B19:M19)</f>
        <v>300</v>
      </c>
    </row>
    <row r="20" spans="1:14">
      <c r="A20" s="519" t="s">
        <v>288</v>
      </c>
      <c r="B20" s="518">
        <v>0</v>
      </c>
      <c r="C20" s="518">
        <v>0</v>
      </c>
      <c r="D20" s="518">
        <v>0</v>
      </c>
      <c r="E20" s="518">
        <v>0</v>
      </c>
      <c r="F20" s="518">
        <v>45.75</v>
      </c>
      <c r="G20" s="518">
        <v>-1616.55</v>
      </c>
      <c r="H20" s="518">
        <v>-1587.55</v>
      </c>
      <c r="I20" s="518">
        <v>-37.29</v>
      </c>
      <c r="J20" s="518">
        <v>0</v>
      </c>
      <c r="K20" s="518">
        <v>0</v>
      </c>
      <c r="L20" s="518">
        <v>0</v>
      </c>
      <c r="M20" s="518">
        <v>0</v>
      </c>
      <c r="N20" s="536">
        <f>SUM(B20:M20)</f>
        <v>-3195.64</v>
      </c>
    </row>
    <row r="21" spans="1:14" ht="15">
      <c r="A21" s="517" t="s">
        <v>243</v>
      </c>
      <c r="B21" s="515">
        <f t="shared" ref="B21:N21" si="1">SUM(B18:B20)</f>
        <v>0</v>
      </c>
      <c r="C21" s="515">
        <f t="shared" si="1"/>
        <v>0</v>
      </c>
      <c r="D21" s="515">
        <f t="shared" si="1"/>
        <v>0</v>
      </c>
      <c r="E21" s="515">
        <f t="shared" si="1"/>
        <v>85</v>
      </c>
      <c r="F21" s="515">
        <f t="shared" si="1"/>
        <v>345.75</v>
      </c>
      <c r="G21" s="515">
        <f t="shared" si="1"/>
        <v>182.25</v>
      </c>
      <c r="H21" s="515">
        <f t="shared" si="1"/>
        <v>319.25</v>
      </c>
      <c r="I21" s="515">
        <f t="shared" si="1"/>
        <v>-37.29</v>
      </c>
      <c r="J21" s="515">
        <f t="shared" si="1"/>
        <v>520</v>
      </c>
      <c r="K21" s="515">
        <f t="shared" si="1"/>
        <v>125</v>
      </c>
      <c r="L21" s="515">
        <f t="shared" si="1"/>
        <v>0</v>
      </c>
      <c r="M21" s="515">
        <f t="shared" si="1"/>
        <v>0</v>
      </c>
      <c r="N21" s="537">
        <f t="shared" si="1"/>
        <v>1539.9600000000005</v>
      </c>
    </row>
    <row r="22" spans="1:14">
      <c r="A22" s="530" t="s">
        <v>287</v>
      </c>
      <c r="B22" s="518">
        <v>0</v>
      </c>
      <c r="C22" s="518">
        <v>0</v>
      </c>
      <c r="D22" s="518">
        <v>0</v>
      </c>
      <c r="E22" s="518">
        <v>0</v>
      </c>
      <c r="F22" s="518">
        <v>0</v>
      </c>
      <c r="G22" s="518">
        <v>-1392.66</v>
      </c>
      <c r="H22" s="518">
        <v>-1809.18</v>
      </c>
      <c r="I22" s="518">
        <v>0</v>
      </c>
      <c r="J22" s="518">
        <v>-218.44</v>
      </c>
      <c r="K22" s="518">
        <v>-240.65</v>
      </c>
      <c r="L22" s="518">
        <v>-25.99</v>
      </c>
      <c r="M22" s="518">
        <v>-5</v>
      </c>
      <c r="N22" s="536">
        <f>SUM(B22:M22)</f>
        <v>-3691.92</v>
      </c>
    </row>
    <row r="23" spans="1:14" ht="15.75" thickBot="1">
      <c r="A23" s="541" t="s">
        <v>242</v>
      </c>
      <c r="B23" s="542">
        <f t="shared" ref="B23:N23" si="2">SUM(B13:B16,B21:B22)</f>
        <v>0</v>
      </c>
      <c r="C23" s="542">
        <f t="shared" si="2"/>
        <v>0</v>
      </c>
      <c r="D23" s="542">
        <f t="shared" si="2"/>
        <v>8665.92</v>
      </c>
      <c r="E23" s="542">
        <f t="shared" si="2"/>
        <v>19777.07</v>
      </c>
      <c r="F23" s="542">
        <f t="shared" si="2"/>
        <v>20962.309999999998</v>
      </c>
      <c r="G23" s="542">
        <f t="shared" si="2"/>
        <v>50101</v>
      </c>
      <c r="H23" s="542">
        <f t="shared" si="2"/>
        <v>87580.99</v>
      </c>
      <c r="I23" s="542">
        <f t="shared" si="2"/>
        <v>11223.15</v>
      </c>
      <c r="J23" s="542">
        <f t="shared" si="2"/>
        <v>21477.420000000002</v>
      </c>
      <c r="K23" s="542">
        <f t="shared" si="2"/>
        <v>14245.87</v>
      </c>
      <c r="L23" s="542">
        <f t="shared" si="2"/>
        <v>2784.71</v>
      </c>
      <c r="M23" s="542">
        <f t="shared" si="2"/>
        <v>757.2</v>
      </c>
      <c r="N23" s="543">
        <f t="shared" si="2"/>
        <v>237575.63999999996</v>
      </c>
    </row>
    <row r="24" spans="1:14" ht="15">
      <c r="A24" s="538" t="s">
        <v>241</v>
      </c>
      <c r="B24" s="539">
        <f t="shared" ref="B24:N24" si="3">B23-0</f>
        <v>0</v>
      </c>
      <c r="C24" s="539">
        <f t="shared" si="3"/>
        <v>0</v>
      </c>
      <c r="D24" s="539">
        <f t="shared" si="3"/>
        <v>8665.92</v>
      </c>
      <c r="E24" s="539">
        <f t="shared" si="3"/>
        <v>19777.07</v>
      </c>
      <c r="F24" s="539">
        <f t="shared" si="3"/>
        <v>20962.309999999998</v>
      </c>
      <c r="G24" s="539">
        <f t="shared" si="3"/>
        <v>50101</v>
      </c>
      <c r="H24" s="539">
        <f t="shared" si="3"/>
        <v>87580.99</v>
      </c>
      <c r="I24" s="539">
        <f t="shared" si="3"/>
        <v>11223.15</v>
      </c>
      <c r="J24" s="539">
        <f t="shared" si="3"/>
        <v>21477.420000000002</v>
      </c>
      <c r="K24" s="539">
        <f t="shared" si="3"/>
        <v>14245.87</v>
      </c>
      <c r="L24" s="539">
        <f t="shared" si="3"/>
        <v>2784.71</v>
      </c>
      <c r="M24" s="539">
        <f t="shared" si="3"/>
        <v>757.2</v>
      </c>
      <c r="N24" s="540">
        <f t="shared" si="3"/>
        <v>237575.63999999996</v>
      </c>
    </row>
    <row r="25" spans="1:14" ht="11.25">
      <c r="A25" s="522" t="s">
        <v>240</v>
      </c>
      <c r="B25" s="520"/>
      <c r="C25" s="520"/>
      <c r="D25" s="520"/>
      <c r="E25" s="520"/>
      <c r="F25" s="520"/>
      <c r="G25" s="520"/>
      <c r="H25" s="520"/>
      <c r="I25" s="520"/>
      <c r="J25" s="520"/>
      <c r="K25" s="520"/>
      <c r="L25" s="520"/>
      <c r="M25" s="520"/>
      <c r="N25" s="520"/>
    </row>
    <row r="26" spans="1:14" ht="11.25">
      <c r="A26" s="521" t="s">
        <v>239</v>
      </c>
      <c r="B26" s="520"/>
      <c r="C26" s="520"/>
      <c r="D26" s="520"/>
      <c r="E26" s="520"/>
      <c r="F26" s="520"/>
      <c r="G26" s="520"/>
      <c r="H26" s="520"/>
      <c r="I26" s="520"/>
      <c r="J26" s="520"/>
      <c r="K26" s="520"/>
      <c r="L26" s="520"/>
      <c r="M26" s="520"/>
      <c r="N26" s="520"/>
    </row>
    <row r="27" spans="1:14" ht="11.25">
      <c r="A27" s="526" t="s">
        <v>238</v>
      </c>
      <c r="B27" s="520"/>
      <c r="C27" s="520"/>
      <c r="D27" s="520"/>
      <c r="E27" s="520"/>
      <c r="F27" s="520"/>
      <c r="G27" s="520"/>
      <c r="H27" s="520"/>
      <c r="I27" s="520"/>
      <c r="J27" s="520"/>
      <c r="K27" s="520"/>
      <c r="L27" s="520"/>
      <c r="M27" s="520"/>
      <c r="N27" s="520"/>
    </row>
    <row r="28" spans="1:14">
      <c r="A28" s="525" t="s">
        <v>238</v>
      </c>
      <c r="B28" s="518">
        <v>3220.25</v>
      </c>
      <c r="C28" s="518">
        <v>3352</v>
      </c>
      <c r="D28" s="518">
        <v>3790.1</v>
      </c>
      <c r="E28" s="518">
        <v>6103.81</v>
      </c>
      <c r="F28" s="518">
        <v>6391.02</v>
      </c>
      <c r="G28" s="518">
        <v>6842.68</v>
      </c>
      <c r="H28" s="518">
        <v>17156.8</v>
      </c>
      <c r="I28" s="518">
        <v>8744.1</v>
      </c>
      <c r="J28" s="518">
        <v>16532.009999999998</v>
      </c>
      <c r="K28" s="518">
        <v>9045.09</v>
      </c>
      <c r="L28" s="518">
        <v>7369.97</v>
      </c>
      <c r="M28" s="518">
        <v>11592</v>
      </c>
      <c r="N28" s="536">
        <f>SUM(B28:M28)</f>
        <v>100139.83</v>
      </c>
    </row>
    <row r="29" spans="1:14">
      <c r="A29" s="525" t="s">
        <v>237</v>
      </c>
      <c r="B29" s="518">
        <v>0</v>
      </c>
      <c r="C29" s="518">
        <v>0</v>
      </c>
      <c r="D29" s="518">
        <v>0</v>
      </c>
      <c r="E29" s="518">
        <v>0</v>
      </c>
      <c r="F29" s="518">
        <v>0</v>
      </c>
      <c r="G29" s="518">
        <v>-919.88</v>
      </c>
      <c r="H29" s="518">
        <v>0</v>
      </c>
      <c r="I29" s="518">
        <v>0</v>
      </c>
      <c r="J29" s="518">
        <v>-3113.32</v>
      </c>
      <c r="K29" s="518">
        <v>0</v>
      </c>
      <c r="L29" s="518">
        <v>0</v>
      </c>
      <c r="M29" s="518">
        <v>474.32</v>
      </c>
      <c r="N29" s="536">
        <f>SUM(B29:M29)</f>
        <v>-3558.88</v>
      </c>
    </row>
    <row r="30" spans="1:14" ht="15">
      <c r="A30" s="524" t="s">
        <v>236</v>
      </c>
      <c r="B30" s="515">
        <f t="shared" ref="B30:N30" si="4">SUM(B28:B29)</f>
        <v>3220.25</v>
      </c>
      <c r="C30" s="515">
        <f t="shared" si="4"/>
        <v>3352</v>
      </c>
      <c r="D30" s="515">
        <f t="shared" si="4"/>
        <v>3790.1</v>
      </c>
      <c r="E30" s="515">
        <f t="shared" si="4"/>
        <v>6103.81</v>
      </c>
      <c r="F30" s="515">
        <f t="shared" si="4"/>
        <v>6391.02</v>
      </c>
      <c r="G30" s="515">
        <f t="shared" si="4"/>
        <v>5922.8</v>
      </c>
      <c r="H30" s="515">
        <f t="shared" si="4"/>
        <v>17156.8</v>
      </c>
      <c r="I30" s="515">
        <f t="shared" si="4"/>
        <v>8744.1</v>
      </c>
      <c r="J30" s="515">
        <f t="shared" si="4"/>
        <v>13418.689999999999</v>
      </c>
      <c r="K30" s="515">
        <f t="shared" si="4"/>
        <v>9045.09</v>
      </c>
      <c r="L30" s="515">
        <f t="shared" si="4"/>
        <v>7369.97</v>
      </c>
      <c r="M30" s="515">
        <f t="shared" si="4"/>
        <v>12066.32</v>
      </c>
      <c r="N30" s="537">
        <f t="shared" si="4"/>
        <v>96580.95</v>
      </c>
    </row>
    <row r="31" spans="1:14" ht="11.25">
      <c r="A31" s="526" t="s">
        <v>235</v>
      </c>
      <c r="B31" s="520"/>
      <c r="C31" s="520"/>
      <c r="D31" s="520"/>
      <c r="E31" s="520"/>
      <c r="F31" s="520"/>
      <c r="G31" s="520"/>
      <c r="H31" s="520"/>
      <c r="I31" s="520"/>
      <c r="J31" s="520"/>
      <c r="K31" s="520"/>
      <c r="L31" s="520"/>
      <c r="M31" s="520"/>
      <c r="N31" s="520"/>
    </row>
    <row r="32" spans="1:14">
      <c r="A32" s="525" t="s">
        <v>234</v>
      </c>
      <c r="B32" s="518">
        <v>124.8</v>
      </c>
      <c r="C32" s="518">
        <v>124.8</v>
      </c>
      <c r="D32" s="518">
        <v>156</v>
      </c>
      <c r="E32" s="518">
        <v>249.6</v>
      </c>
      <c r="F32" s="518">
        <v>365.29</v>
      </c>
      <c r="G32" s="518">
        <v>410.56</v>
      </c>
      <c r="H32" s="518">
        <v>790.54</v>
      </c>
      <c r="I32" s="518">
        <v>374.95</v>
      </c>
      <c r="J32" s="518">
        <v>134.4</v>
      </c>
      <c r="K32" s="518">
        <v>0</v>
      </c>
      <c r="L32" s="518">
        <v>0</v>
      </c>
      <c r="M32" s="518">
        <v>0</v>
      </c>
      <c r="N32" s="536">
        <f>SUM(B32:M32)</f>
        <v>2730.94</v>
      </c>
    </row>
    <row r="33" spans="1:14">
      <c r="A33" s="525" t="s">
        <v>233</v>
      </c>
      <c r="B33" s="518">
        <v>191.6</v>
      </c>
      <c r="C33" s="518">
        <v>201.7</v>
      </c>
      <c r="D33" s="518">
        <v>235.19</v>
      </c>
      <c r="E33" s="518">
        <v>412.2</v>
      </c>
      <c r="F33" s="518">
        <v>434.19</v>
      </c>
      <c r="G33" s="518">
        <v>468.73</v>
      </c>
      <c r="H33" s="518">
        <v>1257.75</v>
      </c>
      <c r="I33" s="518">
        <v>614.19000000000005</v>
      </c>
      <c r="J33" s="518">
        <v>1209.97</v>
      </c>
      <c r="K33" s="518">
        <v>664.34</v>
      </c>
      <c r="L33" s="518">
        <v>543.63</v>
      </c>
      <c r="M33" s="518">
        <v>874.04</v>
      </c>
      <c r="N33" s="536">
        <f>SUM(B33:M33)</f>
        <v>7107.5300000000007</v>
      </c>
    </row>
    <row r="34" spans="1:14" ht="11.25">
      <c r="A34" s="529" t="s">
        <v>232</v>
      </c>
      <c r="B34" s="520"/>
      <c r="C34" s="520"/>
      <c r="D34" s="520"/>
      <c r="E34" s="520"/>
      <c r="F34" s="520"/>
      <c r="G34" s="520"/>
      <c r="H34" s="520"/>
      <c r="I34" s="520"/>
      <c r="J34" s="520"/>
      <c r="K34" s="520"/>
      <c r="L34" s="520"/>
      <c r="M34" s="520"/>
      <c r="N34" s="520"/>
    </row>
    <row r="35" spans="1:14">
      <c r="A35" s="528" t="s">
        <v>231</v>
      </c>
      <c r="B35" s="518">
        <v>1151</v>
      </c>
      <c r="C35" s="518">
        <v>1151</v>
      </c>
      <c r="D35" s="518">
        <v>1151</v>
      </c>
      <c r="E35" s="518">
        <v>1151</v>
      </c>
      <c r="F35" s="518">
        <v>1151</v>
      </c>
      <c r="G35" s="518">
        <v>1151</v>
      </c>
      <c r="H35" s="518">
        <v>1151</v>
      </c>
      <c r="I35" s="518">
        <v>1151</v>
      </c>
      <c r="J35" s="518">
        <v>1151</v>
      </c>
      <c r="K35" s="518">
        <v>1151</v>
      </c>
      <c r="L35" s="518">
        <v>604.51</v>
      </c>
      <c r="M35" s="518">
        <v>1235.51</v>
      </c>
      <c r="N35" s="536">
        <f>SUM(B35:M35)</f>
        <v>13350.02</v>
      </c>
    </row>
    <row r="36" spans="1:14" ht="15">
      <c r="A36" s="527" t="s">
        <v>230</v>
      </c>
      <c r="B36" s="515">
        <f t="shared" ref="B36:N36" si="5">SUM(B35)</f>
        <v>1151</v>
      </c>
      <c r="C36" s="515">
        <f t="shared" si="5"/>
        <v>1151</v>
      </c>
      <c r="D36" s="515">
        <f t="shared" si="5"/>
        <v>1151</v>
      </c>
      <c r="E36" s="515">
        <f t="shared" si="5"/>
        <v>1151</v>
      </c>
      <c r="F36" s="515">
        <f t="shared" si="5"/>
        <v>1151</v>
      </c>
      <c r="G36" s="515">
        <f t="shared" si="5"/>
        <v>1151</v>
      </c>
      <c r="H36" s="515">
        <f t="shared" si="5"/>
        <v>1151</v>
      </c>
      <c r="I36" s="515">
        <f t="shared" si="5"/>
        <v>1151</v>
      </c>
      <c r="J36" s="515">
        <f t="shared" si="5"/>
        <v>1151</v>
      </c>
      <c r="K36" s="515">
        <f t="shared" si="5"/>
        <v>1151</v>
      </c>
      <c r="L36" s="515">
        <f t="shared" si="5"/>
        <v>604.51</v>
      </c>
      <c r="M36" s="515">
        <f t="shared" si="5"/>
        <v>1235.51</v>
      </c>
      <c r="N36" s="537">
        <f t="shared" si="5"/>
        <v>13350.02</v>
      </c>
    </row>
    <row r="37" spans="1:14">
      <c r="A37" s="525" t="s">
        <v>229</v>
      </c>
      <c r="B37" s="518">
        <v>10.87</v>
      </c>
      <c r="C37" s="518">
        <v>10.87</v>
      </c>
      <c r="D37" s="518">
        <v>10.87</v>
      </c>
      <c r="E37" s="518">
        <v>10.87</v>
      </c>
      <c r="F37" s="518">
        <v>10.87</v>
      </c>
      <c r="G37" s="518">
        <v>10.87</v>
      </c>
      <c r="H37" s="518">
        <v>10.87</v>
      </c>
      <c r="I37" s="518">
        <v>10.87</v>
      </c>
      <c r="J37" s="518">
        <v>10.87</v>
      </c>
      <c r="K37" s="518">
        <v>10.87</v>
      </c>
      <c r="L37" s="518">
        <v>28.75</v>
      </c>
      <c r="M37" s="518">
        <v>27.38</v>
      </c>
      <c r="N37" s="536">
        <f>SUM(B37:M37)</f>
        <v>164.83</v>
      </c>
    </row>
    <row r="38" spans="1:14">
      <c r="A38" s="525" t="s">
        <v>228</v>
      </c>
      <c r="B38" s="518">
        <v>67.62</v>
      </c>
      <c r="C38" s="518">
        <v>71.19</v>
      </c>
      <c r="D38" s="518">
        <v>83.01</v>
      </c>
      <c r="E38" s="518">
        <v>145.47999999999999</v>
      </c>
      <c r="F38" s="518">
        <v>153.24</v>
      </c>
      <c r="G38" s="518">
        <v>139.87</v>
      </c>
      <c r="H38" s="518">
        <v>303.89999999999998</v>
      </c>
      <c r="I38" s="518">
        <v>95.17</v>
      </c>
      <c r="J38" s="518">
        <v>177.22</v>
      </c>
      <c r="K38" s="518">
        <v>222.95</v>
      </c>
      <c r="L38" s="518">
        <v>155.58000000000001</v>
      </c>
      <c r="M38" s="518">
        <v>145.08000000000001</v>
      </c>
      <c r="N38" s="536">
        <f>SUM(B38:M38)</f>
        <v>1760.31</v>
      </c>
    </row>
    <row r="39" spans="1:14">
      <c r="A39" s="525" t="s">
        <v>227</v>
      </c>
      <c r="B39" s="518">
        <v>73.14</v>
      </c>
      <c r="C39" s="518">
        <v>76.989999999999995</v>
      </c>
      <c r="D39" s="518">
        <v>107.61</v>
      </c>
      <c r="E39" s="518">
        <v>175.12</v>
      </c>
      <c r="F39" s="518">
        <v>184.45</v>
      </c>
      <c r="G39" s="518">
        <v>190.82</v>
      </c>
      <c r="H39" s="518">
        <v>528.16999999999996</v>
      </c>
      <c r="I39" s="518">
        <v>278.12</v>
      </c>
      <c r="J39" s="518">
        <v>544.62</v>
      </c>
      <c r="K39" s="518">
        <v>303.48</v>
      </c>
      <c r="L39" s="518">
        <v>248.72</v>
      </c>
      <c r="M39" s="518">
        <v>399.89</v>
      </c>
      <c r="N39" s="536">
        <f>SUM(B39:M39)</f>
        <v>3111.1299999999992</v>
      </c>
    </row>
    <row r="40" spans="1:14" ht="15">
      <c r="A40" s="524" t="s">
        <v>226</v>
      </c>
      <c r="B40" s="515">
        <f t="shared" ref="B40:N40" si="6">SUM(B32:B33,B36:B39)</f>
        <v>1619.03</v>
      </c>
      <c r="C40" s="515">
        <f t="shared" si="6"/>
        <v>1636.55</v>
      </c>
      <c r="D40" s="515">
        <f t="shared" si="6"/>
        <v>1743.6799999999998</v>
      </c>
      <c r="E40" s="515">
        <f t="shared" si="6"/>
        <v>2144.27</v>
      </c>
      <c r="F40" s="515">
        <f t="shared" si="6"/>
        <v>2299.04</v>
      </c>
      <c r="G40" s="515">
        <f t="shared" si="6"/>
        <v>2371.85</v>
      </c>
      <c r="H40" s="515">
        <f t="shared" si="6"/>
        <v>4042.23</v>
      </c>
      <c r="I40" s="515">
        <f t="shared" si="6"/>
        <v>2524.3000000000002</v>
      </c>
      <c r="J40" s="515">
        <f t="shared" si="6"/>
        <v>3228.0799999999995</v>
      </c>
      <c r="K40" s="515">
        <f t="shared" si="6"/>
        <v>2352.64</v>
      </c>
      <c r="L40" s="515">
        <f t="shared" si="6"/>
        <v>1581.1899999999998</v>
      </c>
      <c r="M40" s="515">
        <f t="shared" si="6"/>
        <v>2681.9</v>
      </c>
      <c r="N40" s="537">
        <f t="shared" si="6"/>
        <v>28224.760000000002</v>
      </c>
    </row>
    <row r="41" spans="1:14">
      <c r="A41" s="519" t="s">
        <v>286</v>
      </c>
      <c r="B41" s="518">
        <v>0</v>
      </c>
      <c r="C41" s="518">
        <v>0</v>
      </c>
      <c r="D41" s="518">
        <v>0</v>
      </c>
      <c r="E41" s="518">
        <v>0</v>
      </c>
      <c r="F41" s="518">
        <v>0</v>
      </c>
      <c r="G41" s="518">
        <v>0</v>
      </c>
      <c r="H41" s="518">
        <v>2555.89</v>
      </c>
      <c r="I41" s="518">
        <v>0</v>
      </c>
      <c r="J41" s="518">
        <v>829.9</v>
      </c>
      <c r="K41" s="518">
        <v>1921.4</v>
      </c>
      <c r="L41" s="518">
        <v>0</v>
      </c>
      <c r="M41" s="518">
        <v>464.65</v>
      </c>
      <c r="N41" s="536">
        <f>SUM(B41:M41)</f>
        <v>5771.84</v>
      </c>
    </row>
    <row r="42" spans="1:14" ht="11.25">
      <c r="A42" s="526" t="s">
        <v>225</v>
      </c>
      <c r="B42" s="520"/>
      <c r="C42" s="520"/>
      <c r="D42" s="520"/>
      <c r="E42" s="520"/>
      <c r="F42" s="520"/>
      <c r="G42" s="520"/>
      <c r="H42" s="520"/>
      <c r="I42" s="520"/>
      <c r="J42" s="520"/>
      <c r="K42" s="520"/>
      <c r="L42" s="520"/>
      <c r="M42" s="520"/>
      <c r="N42" s="520"/>
    </row>
    <row r="43" spans="1:14">
      <c r="A43" s="525" t="s">
        <v>224</v>
      </c>
      <c r="B43" s="518">
        <v>0</v>
      </c>
      <c r="C43" s="518">
        <v>0</v>
      </c>
      <c r="D43" s="518">
        <v>0</v>
      </c>
      <c r="E43" s="518">
        <v>0</v>
      </c>
      <c r="F43" s="518">
        <v>600</v>
      </c>
      <c r="G43" s="518">
        <v>300</v>
      </c>
      <c r="H43" s="518">
        <v>0</v>
      </c>
      <c r="I43" s="518">
        <v>200.68</v>
      </c>
      <c r="J43" s="518">
        <v>0</v>
      </c>
      <c r="K43" s="518">
        <v>0</v>
      </c>
      <c r="L43" s="518">
        <v>0</v>
      </c>
      <c r="M43" s="518">
        <v>0</v>
      </c>
      <c r="N43" s="536">
        <f>SUM(B43:M43)</f>
        <v>1100.68</v>
      </c>
    </row>
    <row r="44" spans="1:14">
      <c r="A44" s="525" t="s">
        <v>285</v>
      </c>
      <c r="B44" s="518">
        <v>0</v>
      </c>
      <c r="C44" s="518">
        <v>0</v>
      </c>
      <c r="D44" s="518">
        <v>0</v>
      </c>
      <c r="E44" s="518">
        <v>0</v>
      </c>
      <c r="F44" s="518">
        <v>22.79</v>
      </c>
      <c r="G44" s="518">
        <v>0</v>
      </c>
      <c r="H44" s="518">
        <v>0</v>
      </c>
      <c r="I44" s="518">
        <v>0</v>
      </c>
      <c r="J44" s="518">
        <v>0</v>
      </c>
      <c r="K44" s="518">
        <v>34.229999999999997</v>
      </c>
      <c r="L44" s="518">
        <v>0</v>
      </c>
      <c r="M44" s="518">
        <v>0</v>
      </c>
      <c r="N44" s="536">
        <f>SUM(B44:M44)</f>
        <v>57.019999999999996</v>
      </c>
    </row>
    <row r="45" spans="1:14" ht="15">
      <c r="A45" s="524" t="s">
        <v>223</v>
      </c>
      <c r="B45" s="515">
        <f t="shared" ref="B45:N45" si="7">SUM(B43:B44)</f>
        <v>0</v>
      </c>
      <c r="C45" s="515">
        <f t="shared" si="7"/>
        <v>0</v>
      </c>
      <c r="D45" s="515">
        <f t="shared" si="7"/>
        <v>0</v>
      </c>
      <c r="E45" s="515">
        <f t="shared" si="7"/>
        <v>0</v>
      </c>
      <c r="F45" s="515">
        <f t="shared" si="7"/>
        <v>622.79</v>
      </c>
      <c r="G45" s="515">
        <f t="shared" si="7"/>
        <v>300</v>
      </c>
      <c r="H45" s="515">
        <f t="shared" si="7"/>
        <v>0</v>
      </c>
      <c r="I45" s="515">
        <f t="shared" si="7"/>
        <v>200.68</v>
      </c>
      <c r="J45" s="515">
        <f t="shared" si="7"/>
        <v>0</v>
      </c>
      <c r="K45" s="515">
        <f t="shared" si="7"/>
        <v>34.229999999999997</v>
      </c>
      <c r="L45" s="515">
        <f t="shared" si="7"/>
        <v>0</v>
      </c>
      <c r="M45" s="515">
        <f t="shared" si="7"/>
        <v>0</v>
      </c>
      <c r="N45" s="537">
        <f t="shared" si="7"/>
        <v>1157.7</v>
      </c>
    </row>
    <row r="46" spans="1:14">
      <c r="A46" s="519" t="s">
        <v>284</v>
      </c>
      <c r="B46" s="518">
        <v>0</v>
      </c>
      <c r="C46" s="518">
        <v>0</v>
      </c>
      <c r="D46" s="518">
        <v>0</v>
      </c>
      <c r="E46" s="518">
        <v>0</v>
      </c>
      <c r="F46" s="518">
        <v>478.5</v>
      </c>
      <c r="G46" s="518">
        <v>1155</v>
      </c>
      <c r="H46" s="518">
        <v>4431.41</v>
      </c>
      <c r="I46" s="518">
        <v>1302.3800000000001</v>
      </c>
      <c r="J46" s="518">
        <v>1293.3499999999999</v>
      </c>
      <c r="K46" s="518">
        <v>0</v>
      </c>
      <c r="L46" s="518">
        <v>0</v>
      </c>
      <c r="M46" s="518">
        <v>0</v>
      </c>
      <c r="N46" s="536">
        <f>SUM(B46:M46)</f>
        <v>8660.64</v>
      </c>
    </row>
    <row r="47" spans="1:14" ht="15">
      <c r="A47" s="517" t="s">
        <v>222</v>
      </c>
      <c r="B47" s="515">
        <f t="shared" ref="B47:N47" si="8">SUM(B30,B40:B41,B45:B46)</f>
        <v>4839.28</v>
      </c>
      <c r="C47" s="515">
        <f t="shared" si="8"/>
        <v>4988.55</v>
      </c>
      <c r="D47" s="515">
        <f t="shared" si="8"/>
        <v>5533.78</v>
      </c>
      <c r="E47" s="515">
        <f t="shared" si="8"/>
        <v>8248.08</v>
      </c>
      <c r="F47" s="515">
        <f t="shared" si="8"/>
        <v>9791.3500000000022</v>
      </c>
      <c r="G47" s="515">
        <f t="shared" si="8"/>
        <v>9749.65</v>
      </c>
      <c r="H47" s="515">
        <f t="shared" si="8"/>
        <v>28186.329999999998</v>
      </c>
      <c r="I47" s="515">
        <f t="shared" si="8"/>
        <v>12771.460000000003</v>
      </c>
      <c r="J47" s="515">
        <f t="shared" si="8"/>
        <v>18770.019999999997</v>
      </c>
      <c r="K47" s="515">
        <f t="shared" si="8"/>
        <v>13353.359999999999</v>
      </c>
      <c r="L47" s="515">
        <f t="shared" si="8"/>
        <v>8951.16</v>
      </c>
      <c r="M47" s="515">
        <f t="shared" si="8"/>
        <v>15212.869999999999</v>
      </c>
      <c r="N47" s="537">
        <f t="shared" si="8"/>
        <v>140395.89000000001</v>
      </c>
    </row>
    <row r="48" spans="1:14" ht="11.25">
      <c r="A48" s="521" t="s">
        <v>221</v>
      </c>
      <c r="B48" s="520"/>
      <c r="C48" s="520"/>
      <c r="D48" s="520"/>
      <c r="E48" s="520"/>
      <c r="F48" s="520"/>
      <c r="G48" s="520"/>
      <c r="H48" s="520"/>
      <c r="I48" s="520"/>
      <c r="J48" s="520"/>
      <c r="K48" s="520"/>
      <c r="L48" s="520"/>
      <c r="M48" s="520"/>
      <c r="N48" s="520"/>
    </row>
    <row r="49" spans="1:14" ht="11.25">
      <c r="A49" s="526" t="s">
        <v>220</v>
      </c>
      <c r="B49" s="520"/>
      <c r="C49" s="520"/>
      <c r="D49" s="520"/>
      <c r="E49" s="520"/>
      <c r="F49" s="520"/>
      <c r="G49" s="520"/>
      <c r="H49" s="520"/>
      <c r="I49" s="520"/>
      <c r="J49" s="520"/>
      <c r="K49" s="520"/>
      <c r="L49" s="520"/>
      <c r="M49" s="520"/>
      <c r="N49" s="520"/>
    </row>
    <row r="50" spans="1:14">
      <c r="A50" s="525" t="s">
        <v>219</v>
      </c>
      <c r="B50" s="518">
        <v>3500</v>
      </c>
      <c r="C50" s="518">
        <v>3500</v>
      </c>
      <c r="D50" s="518">
        <v>3500</v>
      </c>
      <c r="E50" s="518">
        <v>3500</v>
      </c>
      <c r="F50" s="518">
        <v>3500</v>
      </c>
      <c r="G50" s="518">
        <v>9940</v>
      </c>
      <c r="H50" s="518">
        <v>15000</v>
      </c>
      <c r="I50" s="518">
        <v>3500</v>
      </c>
      <c r="J50" s="518">
        <v>5070</v>
      </c>
      <c r="K50" s="518">
        <v>3450</v>
      </c>
      <c r="L50" s="518">
        <v>3500</v>
      </c>
      <c r="M50" s="518">
        <v>3500</v>
      </c>
      <c r="N50" s="536">
        <f>SUM(B50:M50)</f>
        <v>61460</v>
      </c>
    </row>
    <row r="51" spans="1:14" ht="15">
      <c r="A51" s="524" t="s">
        <v>218</v>
      </c>
      <c r="B51" s="515">
        <f t="shared" ref="B51:N51" si="9">SUM(B50)</f>
        <v>3500</v>
      </c>
      <c r="C51" s="515">
        <f t="shared" si="9"/>
        <v>3500</v>
      </c>
      <c r="D51" s="515">
        <f t="shared" si="9"/>
        <v>3500</v>
      </c>
      <c r="E51" s="515">
        <f t="shared" si="9"/>
        <v>3500</v>
      </c>
      <c r="F51" s="515">
        <f t="shared" si="9"/>
        <v>3500</v>
      </c>
      <c r="G51" s="515">
        <f t="shared" si="9"/>
        <v>9940</v>
      </c>
      <c r="H51" s="515">
        <f t="shared" si="9"/>
        <v>15000</v>
      </c>
      <c r="I51" s="515">
        <f t="shared" si="9"/>
        <v>3500</v>
      </c>
      <c r="J51" s="515">
        <f t="shared" si="9"/>
        <v>5070</v>
      </c>
      <c r="K51" s="515">
        <f t="shared" si="9"/>
        <v>3450</v>
      </c>
      <c r="L51" s="515">
        <f t="shared" si="9"/>
        <v>3500</v>
      </c>
      <c r="M51" s="515">
        <f t="shared" si="9"/>
        <v>3500</v>
      </c>
      <c r="N51" s="537">
        <f t="shared" si="9"/>
        <v>61460</v>
      </c>
    </row>
    <row r="52" spans="1:14" ht="11.25">
      <c r="A52" s="526" t="s">
        <v>217</v>
      </c>
      <c r="B52" s="520"/>
      <c r="C52" s="520"/>
      <c r="D52" s="520"/>
      <c r="E52" s="520"/>
      <c r="F52" s="520"/>
      <c r="G52" s="520"/>
      <c r="H52" s="520"/>
      <c r="I52" s="520"/>
      <c r="J52" s="520"/>
      <c r="K52" s="520"/>
      <c r="L52" s="520"/>
      <c r="M52" s="520"/>
      <c r="N52" s="520"/>
    </row>
    <row r="53" spans="1:14">
      <c r="A53" s="525" t="s">
        <v>216</v>
      </c>
      <c r="B53" s="518">
        <v>0</v>
      </c>
      <c r="C53" s="518">
        <v>0</v>
      </c>
      <c r="D53" s="518">
        <v>0</v>
      </c>
      <c r="E53" s="518">
        <v>0</v>
      </c>
      <c r="F53" s="518">
        <v>3599.62</v>
      </c>
      <c r="G53" s="518">
        <v>17780.669999999998</v>
      </c>
      <c r="H53" s="518">
        <v>20457.900000000001</v>
      </c>
      <c r="I53" s="518">
        <v>87.5</v>
      </c>
      <c r="J53" s="518">
        <v>4963.45</v>
      </c>
      <c r="K53" s="518">
        <v>2318.5100000000002</v>
      </c>
      <c r="L53" s="518">
        <v>163.38</v>
      </c>
      <c r="M53" s="518">
        <v>729.03</v>
      </c>
      <c r="N53" s="536">
        <f>SUM(B53:M53)</f>
        <v>50100.06</v>
      </c>
    </row>
    <row r="54" spans="1:14">
      <c r="A54" s="525" t="s">
        <v>215</v>
      </c>
      <c r="B54" s="518">
        <v>0</v>
      </c>
      <c r="C54" s="518">
        <v>0</v>
      </c>
      <c r="D54" s="518">
        <v>342.72</v>
      </c>
      <c r="E54" s="518">
        <v>0</v>
      </c>
      <c r="F54" s="518">
        <v>288.18</v>
      </c>
      <c r="G54" s="518">
        <v>1872.88</v>
      </c>
      <c r="H54" s="518">
        <v>1847.36</v>
      </c>
      <c r="I54" s="518">
        <v>80.63</v>
      </c>
      <c r="J54" s="518">
        <v>0</v>
      </c>
      <c r="K54" s="518">
        <v>0</v>
      </c>
      <c r="L54" s="518">
        <v>0</v>
      </c>
      <c r="M54" s="518">
        <v>0</v>
      </c>
      <c r="N54" s="536">
        <f>SUM(B54:M54)</f>
        <v>4431.7700000000004</v>
      </c>
    </row>
    <row r="55" spans="1:14" ht="15">
      <c r="A55" s="524" t="s">
        <v>214</v>
      </c>
      <c r="B55" s="515">
        <f t="shared" ref="B55:N55" si="10">SUM(B53:B54)</f>
        <v>0</v>
      </c>
      <c r="C55" s="515">
        <f t="shared" si="10"/>
        <v>0</v>
      </c>
      <c r="D55" s="515">
        <f t="shared" si="10"/>
        <v>342.72</v>
      </c>
      <c r="E55" s="515">
        <f t="shared" si="10"/>
        <v>0</v>
      </c>
      <c r="F55" s="515">
        <f t="shared" si="10"/>
        <v>3887.7999999999997</v>
      </c>
      <c r="G55" s="515">
        <f t="shared" si="10"/>
        <v>19653.55</v>
      </c>
      <c r="H55" s="515">
        <f t="shared" si="10"/>
        <v>22305.260000000002</v>
      </c>
      <c r="I55" s="515">
        <f t="shared" si="10"/>
        <v>168.13</v>
      </c>
      <c r="J55" s="515">
        <f t="shared" si="10"/>
        <v>4963.45</v>
      </c>
      <c r="K55" s="515">
        <f t="shared" si="10"/>
        <v>2318.5100000000002</v>
      </c>
      <c r="L55" s="515">
        <f t="shared" si="10"/>
        <v>163.38</v>
      </c>
      <c r="M55" s="515">
        <f t="shared" si="10"/>
        <v>729.03</v>
      </c>
      <c r="N55" s="537">
        <f t="shared" si="10"/>
        <v>54531.83</v>
      </c>
    </row>
    <row r="56" spans="1:14">
      <c r="A56" s="519" t="s">
        <v>213</v>
      </c>
      <c r="B56" s="518">
        <v>5605.93</v>
      </c>
      <c r="C56" s="518">
        <v>5460.02</v>
      </c>
      <c r="D56" s="518">
        <v>5173.33</v>
      </c>
      <c r="E56" s="518">
        <v>3627.84</v>
      </c>
      <c r="F56" s="518">
        <v>3705.82</v>
      </c>
      <c r="G56" s="518">
        <v>2621.97</v>
      </c>
      <c r="H56" s="518">
        <v>8531.86</v>
      </c>
      <c r="I56" s="518">
        <v>6057.74</v>
      </c>
      <c r="J56" s="518">
        <v>3824.74</v>
      </c>
      <c r="K56" s="518">
        <v>4585.68</v>
      </c>
      <c r="L56" s="518">
        <v>4084.41</v>
      </c>
      <c r="M56" s="518">
        <v>7197.23</v>
      </c>
      <c r="N56" s="536">
        <f>SUM(B56:M56)</f>
        <v>60476.569999999992</v>
      </c>
    </row>
    <row r="57" spans="1:14" ht="11.25">
      <c r="A57" s="526" t="s">
        <v>212</v>
      </c>
      <c r="B57" s="520"/>
      <c r="C57" s="520"/>
      <c r="D57" s="520"/>
      <c r="E57" s="520"/>
      <c r="F57" s="520"/>
      <c r="G57" s="520"/>
      <c r="H57" s="520"/>
      <c r="I57" s="520"/>
      <c r="J57" s="520"/>
      <c r="K57" s="520"/>
      <c r="L57" s="520"/>
      <c r="M57" s="520"/>
      <c r="N57" s="520"/>
    </row>
    <row r="58" spans="1:14">
      <c r="A58" s="525" t="s">
        <v>211</v>
      </c>
      <c r="B58" s="518">
        <v>760</v>
      </c>
      <c r="C58" s="518">
        <v>760</v>
      </c>
      <c r="D58" s="518">
        <v>760</v>
      </c>
      <c r="E58" s="518">
        <v>760</v>
      </c>
      <c r="F58" s="518">
        <v>760</v>
      </c>
      <c r="G58" s="518">
        <v>760</v>
      </c>
      <c r="H58" s="518">
        <v>760</v>
      </c>
      <c r="I58" s="518">
        <v>760</v>
      </c>
      <c r="J58" s="518">
        <v>760</v>
      </c>
      <c r="K58" s="518">
        <v>760</v>
      </c>
      <c r="L58" s="518">
        <v>760</v>
      </c>
      <c r="M58" s="518">
        <v>760</v>
      </c>
      <c r="N58" s="536">
        <f>SUM(B58:M58)</f>
        <v>9120</v>
      </c>
    </row>
    <row r="59" spans="1:14">
      <c r="A59" s="525" t="s">
        <v>210</v>
      </c>
      <c r="B59" s="518">
        <v>2683</v>
      </c>
      <c r="C59" s="518">
        <v>2683</v>
      </c>
      <c r="D59" s="518">
        <v>4673.46</v>
      </c>
      <c r="E59" s="518">
        <v>2683</v>
      </c>
      <c r="F59" s="518">
        <v>2683</v>
      </c>
      <c r="G59" s="518">
        <v>2683</v>
      </c>
      <c r="H59" s="518">
        <v>2683</v>
      </c>
      <c r="I59" s="518">
        <v>2683</v>
      </c>
      <c r="J59" s="518">
        <v>2683</v>
      </c>
      <c r="K59" s="518">
        <v>2683</v>
      </c>
      <c r="L59" s="518">
        <v>2683</v>
      </c>
      <c r="M59" s="518">
        <v>2683</v>
      </c>
      <c r="N59" s="536">
        <f>SUM(B59:M59)</f>
        <v>34186.46</v>
      </c>
    </row>
    <row r="60" spans="1:14">
      <c r="A60" s="525" t="s">
        <v>283</v>
      </c>
      <c r="B60" s="518">
        <v>120</v>
      </c>
      <c r="C60" s="518">
        <v>120</v>
      </c>
      <c r="D60" s="518">
        <v>120</v>
      </c>
      <c r="E60" s="518">
        <v>120</v>
      </c>
      <c r="F60" s="518">
        <v>120</v>
      </c>
      <c r="G60" s="518">
        <v>0</v>
      </c>
      <c r="H60" s="518">
        <v>0</v>
      </c>
      <c r="I60" s="518">
        <v>0</v>
      </c>
      <c r="J60" s="518">
        <v>0</v>
      </c>
      <c r="K60" s="518">
        <v>0</v>
      </c>
      <c r="L60" s="518">
        <v>0</v>
      </c>
      <c r="M60" s="518">
        <v>0</v>
      </c>
      <c r="N60" s="536">
        <f>SUM(B60:M60)</f>
        <v>600</v>
      </c>
    </row>
    <row r="61" spans="1:14" ht="15">
      <c r="A61" s="553" t="s">
        <v>209</v>
      </c>
      <c r="B61" s="554">
        <f t="shared" ref="B61:N61" si="11">SUM(B58:B60)</f>
        <v>3563</v>
      </c>
      <c r="C61" s="554">
        <f t="shared" si="11"/>
        <v>3563</v>
      </c>
      <c r="D61" s="554">
        <f t="shared" si="11"/>
        <v>5553.46</v>
      </c>
      <c r="E61" s="554">
        <f t="shared" si="11"/>
        <v>3563</v>
      </c>
      <c r="F61" s="554">
        <f t="shared" si="11"/>
        <v>3563</v>
      </c>
      <c r="G61" s="554">
        <f t="shared" si="11"/>
        <v>3443</v>
      </c>
      <c r="H61" s="554">
        <f t="shared" si="11"/>
        <v>3443</v>
      </c>
      <c r="I61" s="554">
        <f t="shared" si="11"/>
        <v>3443</v>
      </c>
      <c r="J61" s="554">
        <f t="shared" si="11"/>
        <v>3443</v>
      </c>
      <c r="K61" s="554">
        <f t="shared" si="11"/>
        <v>3443</v>
      </c>
      <c r="L61" s="554">
        <f t="shared" si="11"/>
        <v>3443</v>
      </c>
      <c r="M61" s="554">
        <f t="shared" si="11"/>
        <v>3443</v>
      </c>
      <c r="N61" s="537">
        <f t="shared" si="11"/>
        <v>43906.46</v>
      </c>
    </row>
    <row r="62" spans="1:14" ht="27.6" customHeight="1">
      <c r="A62" s="526" t="s">
        <v>208</v>
      </c>
      <c r="B62" s="520"/>
      <c r="C62" s="520"/>
      <c r="D62" s="520"/>
      <c r="E62" s="520"/>
      <c r="F62" s="520"/>
      <c r="G62" s="520"/>
      <c r="H62" s="520"/>
      <c r="I62" s="520"/>
      <c r="J62" s="520"/>
      <c r="K62" s="520"/>
      <c r="L62" s="520"/>
      <c r="M62" s="520"/>
      <c r="N62" s="520"/>
    </row>
    <row r="63" spans="1:14">
      <c r="A63" s="525" t="s">
        <v>207</v>
      </c>
      <c r="B63" s="518">
        <v>0</v>
      </c>
      <c r="C63" s="518">
        <v>1446.88</v>
      </c>
      <c r="D63" s="518">
        <v>1149.3800000000001</v>
      </c>
      <c r="E63" s="518">
        <v>1638.74</v>
      </c>
      <c r="F63" s="518">
        <v>2263.5700000000002</v>
      </c>
      <c r="G63" s="518">
        <v>7081.88</v>
      </c>
      <c r="H63" s="518">
        <v>2705.51</v>
      </c>
      <c r="I63" s="518">
        <v>435.07</v>
      </c>
      <c r="J63" s="518">
        <v>212</v>
      </c>
      <c r="K63" s="518">
        <v>212</v>
      </c>
      <c r="L63" s="518">
        <v>145.82</v>
      </c>
      <c r="M63" s="518">
        <v>598.07000000000005</v>
      </c>
      <c r="N63" s="536">
        <f>SUM(B63:M63)</f>
        <v>17888.920000000002</v>
      </c>
    </row>
    <row r="64" spans="1:14">
      <c r="A64" s="525" t="s">
        <v>206</v>
      </c>
      <c r="B64" s="518">
        <v>100</v>
      </c>
      <c r="C64" s="518">
        <v>334.44</v>
      </c>
      <c r="D64" s="518">
        <v>1956.71</v>
      </c>
      <c r="E64" s="518">
        <v>1131.51</v>
      </c>
      <c r="F64" s="518">
        <v>2431.7199999999998</v>
      </c>
      <c r="G64" s="518">
        <v>2153.21</v>
      </c>
      <c r="H64" s="518">
        <v>1062.77</v>
      </c>
      <c r="I64" s="518">
        <v>3420.33</v>
      </c>
      <c r="J64" s="518">
        <v>3052.99</v>
      </c>
      <c r="K64" s="518">
        <v>699.14</v>
      </c>
      <c r="L64" s="518">
        <v>125.79</v>
      </c>
      <c r="M64" s="518">
        <v>657.05</v>
      </c>
      <c r="N64" s="536">
        <f>SUM(B64:M64)</f>
        <v>17125.659999999996</v>
      </c>
    </row>
    <row r="65" spans="1:14" ht="15">
      <c r="A65" s="524" t="s">
        <v>205</v>
      </c>
      <c r="B65" s="515">
        <f t="shared" ref="B65:N65" si="12">SUM(B63:B64)</f>
        <v>100</v>
      </c>
      <c r="C65" s="515">
        <f t="shared" si="12"/>
        <v>1781.3200000000002</v>
      </c>
      <c r="D65" s="515">
        <f t="shared" si="12"/>
        <v>3106.09</v>
      </c>
      <c r="E65" s="515">
        <f t="shared" si="12"/>
        <v>2770.25</v>
      </c>
      <c r="F65" s="515">
        <f t="shared" si="12"/>
        <v>4695.29</v>
      </c>
      <c r="G65" s="515">
        <f t="shared" si="12"/>
        <v>9235.09</v>
      </c>
      <c r="H65" s="515">
        <f t="shared" si="12"/>
        <v>3768.28</v>
      </c>
      <c r="I65" s="515">
        <f t="shared" si="12"/>
        <v>3855.4</v>
      </c>
      <c r="J65" s="515">
        <f t="shared" si="12"/>
        <v>3264.99</v>
      </c>
      <c r="K65" s="515">
        <f t="shared" si="12"/>
        <v>911.14</v>
      </c>
      <c r="L65" s="515">
        <f t="shared" si="12"/>
        <v>271.61</v>
      </c>
      <c r="M65" s="515">
        <f t="shared" si="12"/>
        <v>1255.1199999999999</v>
      </c>
      <c r="N65" s="537">
        <f t="shared" si="12"/>
        <v>35014.58</v>
      </c>
    </row>
    <row r="66" spans="1:14" ht="15">
      <c r="A66" s="517" t="s">
        <v>204</v>
      </c>
      <c r="B66" s="515">
        <f t="shared" ref="B66:N66" si="13">SUM(B51,B55:B56,B61,B65)</f>
        <v>12768.93</v>
      </c>
      <c r="C66" s="515">
        <f t="shared" si="13"/>
        <v>14304.34</v>
      </c>
      <c r="D66" s="515">
        <f t="shared" si="13"/>
        <v>17675.599999999999</v>
      </c>
      <c r="E66" s="515">
        <f t="shared" si="13"/>
        <v>13461.09</v>
      </c>
      <c r="F66" s="515">
        <f t="shared" si="13"/>
        <v>19351.91</v>
      </c>
      <c r="G66" s="515">
        <f t="shared" si="13"/>
        <v>44893.61</v>
      </c>
      <c r="H66" s="515">
        <f t="shared" si="13"/>
        <v>53048.4</v>
      </c>
      <c r="I66" s="515">
        <f t="shared" si="13"/>
        <v>17024.27</v>
      </c>
      <c r="J66" s="515">
        <f t="shared" si="13"/>
        <v>20566.18</v>
      </c>
      <c r="K66" s="515">
        <f t="shared" si="13"/>
        <v>14708.33</v>
      </c>
      <c r="L66" s="515">
        <f t="shared" si="13"/>
        <v>11462.400000000001</v>
      </c>
      <c r="M66" s="515">
        <f t="shared" si="13"/>
        <v>16124.379999999997</v>
      </c>
      <c r="N66" s="537">
        <f t="shared" si="13"/>
        <v>255389.44</v>
      </c>
    </row>
    <row r="67" spans="1:14" ht="11.25">
      <c r="A67" s="521" t="s">
        <v>203</v>
      </c>
      <c r="B67" s="520"/>
      <c r="C67" s="520"/>
      <c r="D67" s="520"/>
      <c r="E67" s="520"/>
      <c r="F67" s="520"/>
      <c r="G67" s="520"/>
      <c r="H67" s="520"/>
      <c r="I67" s="520"/>
      <c r="J67" s="520"/>
      <c r="K67" s="520"/>
      <c r="L67" s="520"/>
      <c r="M67" s="520"/>
      <c r="N67" s="520"/>
    </row>
    <row r="68" spans="1:14" ht="11.25">
      <c r="A68" s="526" t="s">
        <v>202</v>
      </c>
      <c r="B68" s="520"/>
      <c r="C68" s="520"/>
      <c r="D68" s="520"/>
      <c r="E68" s="520"/>
      <c r="F68" s="520"/>
      <c r="G68" s="520"/>
      <c r="H68" s="520"/>
      <c r="I68" s="520"/>
      <c r="J68" s="520"/>
      <c r="K68" s="520"/>
      <c r="L68" s="520"/>
      <c r="M68" s="520"/>
      <c r="N68" s="520"/>
    </row>
    <row r="69" spans="1:14">
      <c r="A69" s="525" t="s">
        <v>201</v>
      </c>
      <c r="B69" s="518">
        <v>263.01</v>
      </c>
      <c r="C69" s="518">
        <v>0</v>
      </c>
      <c r="D69" s="518">
        <v>35.01</v>
      </c>
      <c r="E69" s="518">
        <v>85.35</v>
      </c>
      <c r="F69" s="518">
        <v>0</v>
      </c>
      <c r="G69" s="518">
        <v>40.43</v>
      </c>
      <c r="H69" s="518">
        <v>0</v>
      </c>
      <c r="I69" s="518">
        <v>31.45</v>
      </c>
      <c r="J69" s="518">
        <v>55</v>
      </c>
      <c r="K69" s="518">
        <v>7.2</v>
      </c>
      <c r="L69" s="518">
        <v>0</v>
      </c>
      <c r="M69" s="518">
        <v>13.06</v>
      </c>
      <c r="N69" s="536">
        <f>SUM(B69:M69)</f>
        <v>530.51</v>
      </c>
    </row>
    <row r="70" spans="1:14">
      <c r="A70" s="525" t="s">
        <v>282</v>
      </c>
      <c r="B70" s="518">
        <v>0</v>
      </c>
      <c r="C70" s="518">
        <v>0</v>
      </c>
      <c r="D70" s="518">
        <v>0</v>
      </c>
      <c r="E70" s="518">
        <v>0</v>
      </c>
      <c r="F70" s="518">
        <v>168.5</v>
      </c>
      <c r="G70" s="518">
        <v>0</v>
      </c>
      <c r="H70" s="518">
        <v>0</v>
      </c>
      <c r="I70" s="518">
        <v>0</v>
      </c>
      <c r="J70" s="518">
        <v>0</v>
      </c>
      <c r="K70" s="518">
        <v>0</v>
      </c>
      <c r="L70" s="518">
        <v>0</v>
      </c>
      <c r="M70" s="518">
        <v>0</v>
      </c>
      <c r="N70" s="536">
        <f>SUM(B70:M70)</f>
        <v>168.5</v>
      </c>
    </row>
    <row r="71" spans="1:14" ht="15">
      <c r="A71" s="524" t="s">
        <v>200</v>
      </c>
      <c r="B71" s="515">
        <f t="shared" ref="B71:N71" si="14">SUM(B69:B70)</f>
        <v>263.01</v>
      </c>
      <c r="C71" s="515">
        <f t="shared" si="14"/>
        <v>0</v>
      </c>
      <c r="D71" s="515">
        <f t="shared" si="14"/>
        <v>35.01</v>
      </c>
      <c r="E71" s="515">
        <f t="shared" si="14"/>
        <v>85.35</v>
      </c>
      <c r="F71" s="515">
        <f t="shared" si="14"/>
        <v>168.5</v>
      </c>
      <c r="G71" s="515">
        <f t="shared" si="14"/>
        <v>40.43</v>
      </c>
      <c r="H71" s="515">
        <f t="shared" si="14"/>
        <v>0</v>
      </c>
      <c r="I71" s="515">
        <f t="shared" si="14"/>
        <v>31.45</v>
      </c>
      <c r="J71" s="515">
        <f t="shared" si="14"/>
        <v>55</v>
      </c>
      <c r="K71" s="515">
        <f t="shared" si="14"/>
        <v>7.2</v>
      </c>
      <c r="L71" s="515">
        <f t="shared" si="14"/>
        <v>0</v>
      </c>
      <c r="M71" s="515">
        <f t="shared" si="14"/>
        <v>13.06</v>
      </c>
      <c r="N71" s="537">
        <f t="shared" si="14"/>
        <v>699.01</v>
      </c>
    </row>
    <row r="72" spans="1:14" ht="11.25">
      <c r="A72" s="526" t="s">
        <v>199</v>
      </c>
      <c r="B72" s="520"/>
      <c r="C72" s="520"/>
      <c r="D72" s="520"/>
      <c r="E72" s="520"/>
      <c r="F72" s="520"/>
      <c r="G72" s="520"/>
      <c r="H72" s="520"/>
      <c r="I72" s="520"/>
      <c r="J72" s="520"/>
      <c r="K72" s="520"/>
      <c r="L72" s="520"/>
      <c r="M72" s="520"/>
      <c r="N72" s="520"/>
    </row>
    <row r="73" spans="1:14">
      <c r="A73" s="525" t="s">
        <v>199</v>
      </c>
      <c r="B73" s="518">
        <v>0</v>
      </c>
      <c r="C73" s="518">
        <v>0</v>
      </c>
      <c r="D73" s="518">
        <v>0</v>
      </c>
      <c r="E73" s="518">
        <v>0</v>
      </c>
      <c r="F73" s="518">
        <v>0</v>
      </c>
      <c r="G73" s="518">
        <v>0</v>
      </c>
      <c r="H73" s="518">
        <v>1091.75</v>
      </c>
      <c r="I73" s="518">
        <v>0</v>
      </c>
      <c r="J73" s="518">
        <v>299.64</v>
      </c>
      <c r="K73" s="518">
        <v>0</v>
      </c>
      <c r="L73" s="518">
        <v>0</v>
      </c>
      <c r="M73" s="518">
        <v>17.57</v>
      </c>
      <c r="N73" s="536">
        <f>SUM(B73:M73)</f>
        <v>1408.9599999999998</v>
      </c>
    </row>
    <row r="74" spans="1:14">
      <c r="A74" s="525" t="s">
        <v>281</v>
      </c>
      <c r="B74" s="518">
        <v>0</v>
      </c>
      <c r="C74" s="518">
        <v>0</v>
      </c>
      <c r="D74" s="518">
        <v>0</v>
      </c>
      <c r="E74" s="518">
        <v>0</v>
      </c>
      <c r="F74" s="518">
        <v>0</v>
      </c>
      <c r="G74" s="518">
        <v>0</v>
      </c>
      <c r="H74" s="518">
        <v>166.32</v>
      </c>
      <c r="I74" s="518">
        <v>0</v>
      </c>
      <c r="J74" s="518">
        <v>0</v>
      </c>
      <c r="K74" s="518">
        <v>0</v>
      </c>
      <c r="L74" s="518">
        <v>0</v>
      </c>
      <c r="M74" s="518">
        <v>0</v>
      </c>
      <c r="N74" s="536">
        <f>SUM(B74:M74)</f>
        <v>166.32</v>
      </c>
    </row>
    <row r="75" spans="1:14">
      <c r="A75" s="525" t="s">
        <v>198</v>
      </c>
      <c r="B75" s="518">
        <v>0</v>
      </c>
      <c r="C75" s="518">
        <v>706.61</v>
      </c>
      <c r="D75" s="518">
        <v>206.02</v>
      </c>
      <c r="E75" s="518">
        <v>220.92</v>
      </c>
      <c r="F75" s="518">
        <v>211.04</v>
      </c>
      <c r="G75" s="518">
        <v>151.63</v>
      </c>
      <c r="H75" s="518">
        <v>668.26</v>
      </c>
      <c r="I75" s="518">
        <v>354.09</v>
      </c>
      <c r="J75" s="518">
        <v>245.58</v>
      </c>
      <c r="K75" s="518">
        <v>568.16</v>
      </c>
      <c r="L75" s="518">
        <v>72.61</v>
      </c>
      <c r="M75" s="518">
        <v>0</v>
      </c>
      <c r="N75" s="536">
        <f>SUM(B75:M75)</f>
        <v>3404.9199999999996</v>
      </c>
    </row>
    <row r="76" spans="1:14" ht="15">
      <c r="A76" s="524" t="s">
        <v>197</v>
      </c>
      <c r="B76" s="515">
        <f t="shared" ref="B76:N76" si="15">SUM(B73:B75)</f>
        <v>0</v>
      </c>
      <c r="C76" s="515">
        <f t="shared" si="15"/>
        <v>706.61</v>
      </c>
      <c r="D76" s="515">
        <f t="shared" si="15"/>
        <v>206.02</v>
      </c>
      <c r="E76" s="515">
        <f t="shared" si="15"/>
        <v>220.92</v>
      </c>
      <c r="F76" s="515">
        <f t="shared" si="15"/>
        <v>211.04</v>
      </c>
      <c r="G76" s="515">
        <f t="shared" si="15"/>
        <v>151.63</v>
      </c>
      <c r="H76" s="515">
        <f t="shared" si="15"/>
        <v>1926.33</v>
      </c>
      <c r="I76" s="515">
        <f t="shared" si="15"/>
        <v>354.09</v>
      </c>
      <c r="J76" s="515">
        <f t="shared" si="15"/>
        <v>545.22</v>
      </c>
      <c r="K76" s="515">
        <f t="shared" si="15"/>
        <v>568.16</v>
      </c>
      <c r="L76" s="515">
        <f t="shared" si="15"/>
        <v>72.61</v>
      </c>
      <c r="M76" s="515">
        <f t="shared" si="15"/>
        <v>17.57</v>
      </c>
      <c r="N76" s="537">
        <f t="shared" si="15"/>
        <v>4980.1999999999989</v>
      </c>
    </row>
    <row r="77" spans="1:14" ht="11.25">
      <c r="A77" s="526" t="s">
        <v>280</v>
      </c>
      <c r="B77" s="520"/>
      <c r="C77" s="520"/>
      <c r="D77" s="520"/>
      <c r="E77" s="520"/>
      <c r="F77" s="520"/>
      <c r="G77" s="520"/>
      <c r="H77" s="520"/>
      <c r="I77" s="520"/>
      <c r="J77" s="520"/>
      <c r="K77" s="520"/>
      <c r="L77" s="520"/>
      <c r="M77" s="520"/>
      <c r="N77" s="520"/>
    </row>
    <row r="78" spans="1:14">
      <c r="A78" s="525" t="s">
        <v>279</v>
      </c>
      <c r="B78" s="518">
        <v>0</v>
      </c>
      <c r="C78" s="518">
        <v>0</v>
      </c>
      <c r="D78" s="518">
        <v>106.32</v>
      </c>
      <c r="E78" s="518">
        <v>0</v>
      </c>
      <c r="F78" s="518">
        <v>0</v>
      </c>
      <c r="G78" s="518">
        <v>0</v>
      </c>
      <c r="H78" s="518">
        <v>0</v>
      </c>
      <c r="I78" s="518">
        <v>0</v>
      </c>
      <c r="J78" s="518">
        <v>0</v>
      </c>
      <c r="K78" s="518">
        <v>0</v>
      </c>
      <c r="L78" s="518">
        <v>0</v>
      </c>
      <c r="M78" s="518">
        <v>0</v>
      </c>
      <c r="N78" s="536">
        <f>SUM(B78:M78)</f>
        <v>106.32</v>
      </c>
    </row>
    <row r="79" spans="1:14" ht="15">
      <c r="A79" s="524" t="s">
        <v>278</v>
      </c>
      <c r="B79" s="515">
        <f t="shared" ref="B79:N79" si="16">SUM(B78)</f>
        <v>0</v>
      </c>
      <c r="C79" s="515">
        <f t="shared" si="16"/>
        <v>0</v>
      </c>
      <c r="D79" s="515">
        <f t="shared" si="16"/>
        <v>106.32</v>
      </c>
      <c r="E79" s="515">
        <f t="shared" si="16"/>
        <v>0</v>
      </c>
      <c r="F79" s="515">
        <f t="shared" si="16"/>
        <v>0</v>
      </c>
      <c r="G79" s="515">
        <f t="shared" si="16"/>
        <v>0</v>
      </c>
      <c r="H79" s="515">
        <f t="shared" si="16"/>
        <v>0</v>
      </c>
      <c r="I79" s="515">
        <f t="shared" si="16"/>
        <v>0</v>
      </c>
      <c r="J79" s="515">
        <f t="shared" si="16"/>
        <v>0</v>
      </c>
      <c r="K79" s="515">
        <f t="shared" si="16"/>
        <v>0</v>
      </c>
      <c r="L79" s="515">
        <f t="shared" si="16"/>
        <v>0</v>
      </c>
      <c r="M79" s="515">
        <f t="shared" si="16"/>
        <v>0</v>
      </c>
      <c r="N79" s="537">
        <f t="shared" si="16"/>
        <v>106.32</v>
      </c>
    </row>
    <row r="80" spans="1:14" ht="11.25">
      <c r="A80" s="526" t="s">
        <v>277</v>
      </c>
      <c r="B80" s="520"/>
      <c r="C80" s="520"/>
      <c r="D80" s="520"/>
      <c r="E80" s="520"/>
      <c r="F80" s="520"/>
      <c r="G80" s="520"/>
      <c r="H80" s="520"/>
      <c r="I80" s="520"/>
      <c r="J80" s="520"/>
      <c r="K80" s="520"/>
      <c r="L80" s="520"/>
      <c r="M80" s="520"/>
      <c r="N80" s="520"/>
    </row>
    <row r="81" spans="1:14">
      <c r="A81" s="525" t="s">
        <v>276</v>
      </c>
      <c r="B81" s="518">
        <v>960.67</v>
      </c>
      <c r="C81" s="518">
        <v>0</v>
      </c>
      <c r="D81" s="518">
        <v>435</v>
      </c>
      <c r="E81" s="518">
        <v>0</v>
      </c>
      <c r="F81" s="518">
        <v>0</v>
      </c>
      <c r="G81" s="518">
        <v>2.6</v>
      </c>
      <c r="H81" s="518">
        <v>0</v>
      </c>
      <c r="I81" s="518">
        <v>120</v>
      </c>
      <c r="J81" s="518">
        <v>95</v>
      </c>
      <c r="K81" s="518">
        <v>0</v>
      </c>
      <c r="L81" s="518">
        <v>0</v>
      </c>
      <c r="M81" s="518">
        <v>0</v>
      </c>
      <c r="N81" s="536">
        <f>SUM(B81:M81)</f>
        <v>1613.27</v>
      </c>
    </row>
    <row r="82" spans="1:14">
      <c r="A82" s="525" t="s">
        <v>308</v>
      </c>
      <c r="B82" s="518">
        <v>0</v>
      </c>
      <c r="C82" s="518">
        <v>0</v>
      </c>
      <c r="D82" s="518">
        <v>0</v>
      </c>
      <c r="E82" s="518">
        <v>0</v>
      </c>
      <c r="F82" s="518">
        <v>0</v>
      </c>
      <c r="G82" s="518">
        <v>0</v>
      </c>
      <c r="H82" s="518">
        <v>0</v>
      </c>
      <c r="I82" s="518">
        <v>0</v>
      </c>
      <c r="J82" s="518">
        <v>0</v>
      </c>
      <c r="K82" s="518">
        <v>0.57999999999999996</v>
      </c>
      <c r="L82" s="518">
        <v>92.41</v>
      </c>
      <c r="M82" s="518">
        <v>0.55000000000000004</v>
      </c>
      <c r="N82" s="536">
        <f>SUM(B82:M82)</f>
        <v>93.539999999999992</v>
      </c>
    </row>
    <row r="83" spans="1:14">
      <c r="A83" s="525" t="s">
        <v>275</v>
      </c>
      <c r="B83" s="518">
        <v>0</v>
      </c>
      <c r="C83" s="518">
        <v>385.22</v>
      </c>
      <c r="D83" s="518">
        <v>-385.22</v>
      </c>
      <c r="E83" s="518">
        <v>0</v>
      </c>
      <c r="F83" s="518">
        <v>0</v>
      </c>
      <c r="G83" s="518">
        <v>0</v>
      </c>
      <c r="H83" s="518">
        <v>0</v>
      </c>
      <c r="I83" s="518">
        <v>0</v>
      </c>
      <c r="J83" s="518">
        <v>0</v>
      </c>
      <c r="K83" s="518">
        <v>0</v>
      </c>
      <c r="L83" s="518">
        <v>0</v>
      </c>
      <c r="M83" s="518">
        <v>0</v>
      </c>
      <c r="N83" s="536">
        <f>SUM(B83:M83)</f>
        <v>0</v>
      </c>
    </row>
    <row r="84" spans="1:14">
      <c r="A84" s="525" t="s">
        <v>274</v>
      </c>
      <c r="B84" s="518">
        <v>0</v>
      </c>
      <c r="C84" s="518">
        <v>636.49</v>
      </c>
      <c r="D84" s="518">
        <v>-636.49</v>
      </c>
      <c r="E84" s="518">
        <v>0</v>
      </c>
      <c r="F84" s="518">
        <v>0</v>
      </c>
      <c r="G84" s="518">
        <v>0</v>
      </c>
      <c r="H84" s="518">
        <v>0</v>
      </c>
      <c r="I84" s="518">
        <v>0</v>
      </c>
      <c r="J84" s="518">
        <v>0</v>
      </c>
      <c r="K84" s="518">
        <v>0</v>
      </c>
      <c r="L84" s="518">
        <v>0</v>
      </c>
      <c r="M84" s="518">
        <v>0</v>
      </c>
      <c r="N84" s="536">
        <f>SUM(B84:M84)</f>
        <v>0</v>
      </c>
    </row>
    <row r="85" spans="1:14" ht="15">
      <c r="A85" s="524" t="s">
        <v>273</v>
      </c>
      <c r="B85" s="515">
        <f t="shared" ref="B85:N85" si="17">SUM(B81:B84)</f>
        <v>960.67</v>
      </c>
      <c r="C85" s="515">
        <f t="shared" si="17"/>
        <v>1021.71</v>
      </c>
      <c r="D85" s="515">
        <f t="shared" si="17"/>
        <v>-586.71</v>
      </c>
      <c r="E85" s="515">
        <f t="shared" si="17"/>
        <v>0</v>
      </c>
      <c r="F85" s="515">
        <f t="shared" si="17"/>
        <v>0</v>
      </c>
      <c r="G85" s="515">
        <f t="shared" si="17"/>
        <v>2.6</v>
      </c>
      <c r="H85" s="515">
        <f t="shared" si="17"/>
        <v>0</v>
      </c>
      <c r="I85" s="515">
        <f t="shared" si="17"/>
        <v>120</v>
      </c>
      <c r="J85" s="515">
        <f t="shared" si="17"/>
        <v>95</v>
      </c>
      <c r="K85" s="515">
        <f t="shared" si="17"/>
        <v>0.57999999999999996</v>
      </c>
      <c r="L85" s="515">
        <f t="shared" si="17"/>
        <v>92.41</v>
      </c>
      <c r="M85" s="515">
        <f t="shared" si="17"/>
        <v>0.55000000000000004</v>
      </c>
      <c r="N85" s="537">
        <f t="shared" si="17"/>
        <v>1706.81</v>
      </c>
    </row>
    <row r="86" spans="1:14" ht="11.25">
      <c r="A86" s="526" t="s">
        <v>196</v>
      </c>
      <c r="B86" s="520"/>
      <c r="C86" s="520"/>
      <c r="D86" s="520"/>
      <c r="E86" s="520"/>
      <c r="F86" s="520"/>
      <c r="G86" s="520"/>
      <c r="H86" s="520"/>
      <c r="I86" s="520"/>
      <c r="J86" s="520"/>
      <c r="K86" s="520"/>
      <c r="L86" s="520"/>
      <c r="M86" s="520"/>
      <c r="N86" s="520"/>
    </row>
    <row r="87" spans="1:14">
      <c r="A87" s="525" t="s">
        <v>195</v>
      </c>
      <c r="B87" s="518">
        <v>180</v>
      </c>
      <c r="C87" s="518">
        <v>180</v>
      </c>
      <c r="D87" s="518">
        <v>180</v>
      </c>
      <c r="E87" s="518">
        <v>180</v>
      </c>
      <c r="F87" s="518">
        <v>180</v>
      </c>
      <c r="G87" s="518">
        <v>180</v>
      </c>
      <c r="H87" s="518">
        <v>180</v>
      </c>
      <c r="I87" s="518">
        <v>180</v>
      </c>
      <c r="J87" s="518">
        <v>180</v>
      </c>
      <c r="K87" s="518">
        <v>180</v>
      </c>
      <c r="L87" s="518">
        <v>0</v>
      </c>
      <c r="M87" s="518">
        <v>180</v>
      </c>
      <c r="N87" s="536">
        <f>SUM(B87:M87)</f>
        <v>1980</v>
      </c>
    </row>
    <row r="88" spans="1:14" ht="15">
      <c r="A88" s="524" t="s">
        <v>194</v>
      </c>
      <c r="B88" s="515">
        <f t="shared" ref="B88:N88" si="18">SUM(B87)</f>
        <v>180</v>
      </c>
      <c r="C88" s="515">
        <f t="shared" si="18"/>
        <v>180</v>
      </c>
      <c r="D88" s="515">
        <f t="shared" si="18"/>
        <v>180</v>
      </c>
      <c r="E88" s="515">
        <f t="shared" si="18"/>
        <v>180</v>
      </c>
      <c r="F88" s="515">
        <f t="shared" si="18"/>
        <v>180</v>
      </c>
      <c r="G88" s="515">
        <f t="shared" si="18"/>
        <v>180</v>
      </c>
      <c r="H88" s="515">
        <f t="shared" si="18"/>
        <v>180</v>
      </c>
      <c r="I88" s="515">
        <f t="shared" si="18"/>
        <v>180</v>
      </c>
      <c r="J88" s="515">
        <f t="shared" si="18"/>
        <v>180</v>
      </c>
      <c r="K88" s="515">
        <f t="shared" si="18"/>
        <v>180</v>
      </c>
      <c r="L88" s="515">
        <f t="shared" si="18"/>
        <v>0</v>
      </c>
      <c r="M88" s="515">
        <f t="shared" si="18"/>
        <v>180</v>
      </c>
      <c r="N88" s="537">
        <f t="shared" si="18"/>
        <v>1980</v>
      </c>
    </row>
    <row r="89" spans="1:14">
      <c r="A89" s="519" t="s">
        <v>272</v>
      </c>
      <c r="B89" s="518">
        <v>-23.74</v>
      </c>
      <c r="C89" s="518">
        <v>23.74</v>
      </c>
      <c r="D89" s="518">
        <v>1.72</v>
      </c>
      <c r="E89" s="518">
        <v>0</v>
      </c>
      <c r="F89" s="518">
        <v>0</v>
      </c>
      <c r="G89" s="518">
        <v>0</v>
      </c>
      <c r="H89" s="518">
        <v>0</v>
      </c>
      <c r="I89" s="518">
        <v>0</v>
      </c>
      <c r="J89" s="518">
        <v>-23.74</v>
      </c>
      <c r="K89" s="518">
        <v>0</v>
      </c>
      <c r="L89" s="518">
        <v>0</v>
      </c>
      <c r="M89" s="518">
        <v>0</v>
      </c>
      <c r="N89" s="536">
        <f>SUM(B89:M89)</f>
        <v>-22.02</v>
      </c>
    </row>
    <row r="90" spans="1:14" ht="15">
      <c r="A90" s="517" t="s">
        <v>193</v>
      </c>
      <c r="B90" s="515">
        <f t="shared" ref="B90:N90" si="19">SUM(B71,B76,B79,B85,B88:B89)</f>
        <v>1379.9399999999998</v>
      </c>
      <c r="C90" s="515">
        <f t="shared" si="19"/>
        <v>1932.0600000000002</v>
      </c>
      <c r="D90" s="515">
        <f t="shared" si="19"/>
        <v>-57.640000000000015</v>
      </c>
      <c r="E90" s="515">
        <f t="shared" si="19"/>
        <v>486.27</v>
      </c>
      <c r="F90" s="515">
        <f t="shared" si="19"/>
        <v>559.54</v>
      </c>
      <c r="G90" s="515">
        <f t="shared" si="19"/>
        <v>374.65999999999997</v>
      </c>
      <c r="H90" s="515">
        <f t="shared" si="19"/>
        <v>2106.33</v>
      </c>
      <c r="I90" s="515">
        <f t="shared" si="19"/>
        <v>685.54</v>
      </c>
      <c r="J90" s="515">
        <f t="shared" si="19"/>
        <v>851.48</v>
      </c>
      <c r="K90" s="515">
        <f t="shared" si="19"/>
        <v>755.94</v>
      </c>
      <c r="L90" s="515">
        <f t="shared" si="19"/>
        <v>165.01999999999998</v>
      </c>
      <c r="M90" s="515">
        <f t="shared" si="19"/>
        <v>211.18</v>
      </c>
      <c r="N90" s="537">
        <f t="shared" si="19"/>
        <v>9450.3199999999979</v>
      </c>
    </row>
    <row r="91" spans="1:14" ht="11.25">
      <c r="A91" s="521" t="s">
        <v>192</v>
      </c>
      <c r="B91" s="520"/>
      <c r="C91" s="520"/>
      <c r="D91" s="520"/>
      <c r="E91" s="520"/>
      <c r="F91" s="520"/>
      <c r="G91" s="520"/>
      <c r="H91" s="520"/>
      <c r="I91" s="520"/>
      <c r="J91" s="520"/>
      <c r="K91" s="520"/>
      <c r="L91" s="520"/>
      <c r="M91" s="520"/>
      <c r="N91" s="520"/>
    </row>
    <row r="92" spans="1:14">
      <c r="A92" s="519" t="s">
        <v>191</v>
      </c>
      <c r="B92" s="518">
        <v>0</v>
      </c>
      <c r="C92" s="518">
        <v>-23.74</v>
      </c>
      <c r="D92" s="518">
        <v>0</v>
      </c>
      <c r="E92" s="518">
        <v>0</v>
      </c>
      <c r="F92" s="518">
        <v>0</v>
      </c>
      <c r="G92" s="518">
        <v>0</v>
      </c>
      <c r="H92" s="518">
        <v>0</v>
      </c>
      <c r="I92" s="518">
        <v>0</v>
      </c>
      <c r="J92" s="518">
        <v>23.74</v>
      </c>
      <c r="K92" s="518">
        <v>0</v>
      </c>
      <c r="L92" s="518">
        <v>0</v>
      </c>
      <c r="M92" s="518">
        <v>0</v>
      </c>
      <c r="N92" s="536">
        <f>SUM(B92:M92)</f>
        <v>0</v>
      </c>
    </row>
    <row r="93" spans="1:14" ht="15">
      <c r="A93" s="517" t="s">
        <v>190</v>
      </c>
      <c r="B93" s="515">
        <f t="shared" ref="B93:N93" si="20">SUM(B92)</f>
        <v>0</v>
      </c>
      <c r="C93" s="515">
        <f t="shared" si="20"/>
        <v>-23.74</v>
      </c>
      <c r="D93" s="515">
        <f t="shared" si="20"/>
        <v>0</v>
      </c>
      <c r="E93" s="515">
        <f t="shared" si="20"/>
        <v>0</v>
      </c>
      <c r="F93" s="515">
        <f t="shared" si="20"/>
        <v>0</v>
      </c>
      <c r="G93" s="515">
        <f t="shared" si="20"/>
        <v>0</v>
      </c>
      <c r="H93" s="515">
        <f t="shared" si="20"/>
        <v>0</v>
      </c>
      <c r="I93" s="515">
        <f t="shared" si="20"/>
        <v>0</v>
      </c>
      <c r="J93" s="515">
        <f t="shared" si="20"/>
        <v>23.74</v>
      </c>
      <c r="K93" s="515">
        <f t="shared" si="20"/>
        <v>0</v>
      </c>
      <c r="L93" s="515">
        <f t="shared" si="20"/>
        <v>0</v>
      </c>
      <c r="M93" s="515">
        <f t="shared" si="20"/>
        <v>0</v>
      </c>
      <c r="N93" s="537">
        <f t="shared" si="20"/>
        <v>0</v>
      </c>
    </row>
    <row r="94" spans="1:14" ht="15">
      <c r="A94" s="555" t="s">
        <v>189</v>
      </c>
      <c r="B94" s="554">
        <f t="shared" ref="B94:N94" si="21">SUM(B47,B66,B90,B93)</f>
        <v>18988.149999999998</v>
      </c>
      <c r="C94" s="554">
        <f t="shared" si="21"/>
        <v>21201.21</v>
      </c>
      <c r="D94" s="554">
        <f t="shared" si="21"/>
        <v>23151.739999999998</v>
      </c>
      <c r="E94" s="554">
        <f t="shared" si="21"/>
        <v>22195.439999999999</v>
      </c>
      <c r="F94" s="554">
        <f t="shared" si="21"/>
        <v>29702.800000000003</v>
      </c>
      <c r="G94" s="554">
        <f t="shared" si="21"/>
        <v>55017.920000000006</v>
      </c>
      <c r="H94" s="554">
        <f t="shared" si="21"/>
        <v>83341.06</v>
      </c>
      <c r="I94" s="554">
        <f t="shared" si="21"/>
        <v>30481.270000000004</v>
      </c>
      <c r="J94" s="554">
        <f t="shared" si="21"/>
        <v>40211.42</v>
      </c>
      <c r="K94" s="554">
        <f t="shared" si="21"/>
        <v>28817.629999999997</v>
      </c>
      <c r="L94" s="554">
        <f t="shared" si="21"/>
        <v>20578.580000000002</v>
      </c>
      <c r="M94" s="554">
        <f t="shared" si="21"/>
        <v>31548.429999999997</v>
      </c>
      <c r="N94" s="544">
        <f t="shared" si="21"/>
        <v>405235.65</v>
      </c>
    </row>
    <row r="95" spans="1:14" ht="12.6" customHeight="1">
      <c r="N95" s="514"/>
    </row>
    <row r="96" spans="1:14" ht="20.45" customHeight="1" thickBot="1">
      <c r="A96" s="546" t="s">
        <v>188</v>
      </c>
      <c r="B96" s="547">
        <f>B23-B94</f>
        <v>-18988.149999999998</v>
      </c>
      <c r="C96" s="547">
        <f t="shared" ref="C96:N96" si="22">C23-C94</f>
        <v>-21201.21</v>
      </c>
      <c r="D96" s="547">
        <f t="shared" si="22"/>
        <v>-14485.819999999998</v>
      </c>
      <c r="E96" s="547">
        <f t="shared" si="22"/>
        <v>-2418.369999999999</v>
      </c>
      <c r="F96" s="547">
        <f t="shared" si="22"/>
        <v>-8740.4900000000052</v>
      </c>
      <c r="G96" s="547">
        <f t="shared" si="22"/>
        <v>-4916.9200000000055</v>
      </c>
      <c r="H96" s="547">
        <f t="shared" si="22"/>
        <v>4239.9300000000076</v>
      </c>
      <c r="I96" s="547">
        <f t="shared" si="22"/>
        <v>-19258.120000000003</v>
      </c>
      <c r="J96" s="547">
        <f t="shared" si="22"/>
        <v>-18733.999999999996</v>
      </c>
      <c r="K96" s="547">
        <f t="shared" si="22"/>
        <v>-14571.759999999997</v>
      </c>
      <c r="L96" s="547">
        <f t="shared" si="22"/>
        <v>-17793.870000000003</v>
      </c>
      <c r="M96" s="547">
        <f t="shared" si="22"/>
        <v>-30791.229999999996</v>
      </c>
      <c r="N96" s="543">
        <f t="shared" si="22"/>
        <v>-167660.01000000007</v>
      </c>
    </row>
    <row r="97" spans="1:14" ht="11.25">
      <c r="A97" s="545"/>
      <c r="B97" s="539"/>
      <c r="C97" s="539"/>
      <c r="D97" s="539"/>
      <c r="E97" s="539"/>
      <c r="F97" s="539"/>
      <c r="G97" s="539"/>
      <c r="H97" s="539"/>
      <c r="I97" s="539"/>
      <c r="J97" s="539"/>
      <c r="K97" s="539"/>
      <c r="L97" s="539"/>
      <c r="M97" s="539"/>
      <c r="N97" s="539"/>
    </row>
    <row r="98" spans="1:14" ht="11.25">
      <c r="A98" s="523" t="s">
        <v>187</v>
      </c>
      <c r="B98" s="520"/>
      <c r="C98" s="520"/>
      <c r="D98" s="520"/>
      <c r="E98" s="520"/>
      <c r="F98" s="520"/>
      <c r="G98" s="520"/>
      <c r="H98" s="520"/>
      <c r="I98" s="520"/>
      <c r="J98" s="520"/>
      <c r="K98" s="520"/>
      <c r="L98" s="520"/>
      <c r="M98" s="520"/>
      <c r="N98" s="520"/>
    </row>
    <row r="99" spans="1:14" ht="11.25">
      <c r="A99" s="522" t="s">
        <v>186</v>
      </c>
      <c r="B99" s="520"/>
      <c r="C99" s="520"/>
      <c r="D99" s="520"/>
      <c r="E99" s="520"/>
      <c r="F99" s="520"/>
      <c r="G99" s="520"/>
      <c r="H99" s="520"/>
      <c r="I99" s="520"/>
      <c r="J99" s="520"/>
      <c r="K99" s="520"/>
      <c r="L99" s="520"/>
      <c r="M99" s="520"/>
      <c r="N99" s="520"/>
    </row>
    <row r="100" spans="1:14" ht="11.25">
      <c r="A100" s="521" t="s">
        <v>185</v>
      </c>
      <c r="B100" s="520"/>
      <c r="C100" s="520"/>
      <c r="D100" s="520"/>
      <c r="E100" s="520"/>
      <c r="F100" s="520"/>
      <c r="G100" s="520"/>
      <c r="H100" s="520"/>
      <c r="I100" s="520"/>
      <c r="J100" s="520"/>
      <c r="K100" s="520"/>
      <c r="L100" s="520"/>
      <c r="M100" s="520"/>
      <c r="N100" s="520"/>
    </row>
    <row r="101" spans="1:14">
      <c r="A101" s="519" t="s">
        <v>307</v>
      </c>
      <c r="B101" s="518">
        <v>20000</v>
      </c>
      <c r="C101" s="518">
        <v>20000</v>
      </c>
      <c r="D101" s="518">
        <v>20000</v>
      </c>
      <c r="E101" s="518">
        <v>20000</v>
      </c>
      <c r="F101" s="518">
        <v>20000</v>
      </c>
      <c r="G101" s="518">
        <v>0</v>
      </c>
      <c r="H101" s="518">
        <v>0</v>
      </c>
      <c r="I101" s="518">
        <v>0</v>
      </c>
      <c r="J101" s="518">
        <v>20000</v>
      </c>
      <c r="K101" s="518">
        <v>20000</v>
      </c>
      <c r="L101" s="518">
        <v>20000</v>
      </c>
      <c r="M101" s="518">
        <v>20000</v>
      </c>
      <c r="N101" s="536">
        <f>SUM(B101:M101)</f>
        <v>180000</v>
      </c>
    </row>
    <row r="102" spans="1:14" ht="15">
      <c r="A102" s="517" t="s">
        <v>183</v>
      </c>
      <c r="B102" s="515">
        <f t="shared" ref="B102:N103" si="23">SUM(B101)</f>
        <v>20000</v>
      </c>
      <c r="C102" s="515">
        <f t="shared" si="23"/>
        <v>20000</v>
      </c>
      <c r="D102" s="515">
        <f t="shared" si="23"/>
        <v>20000</v>
      </c>
      <c r="E102" s="515">
        <f t="shared" si="23"/>
        <v>20000</v>
      </c>
      <c r="F102" s="515">
        <f t="shared" si="23"/>
        <v>20000</v>
      </c>
      <c r="G102" s="515">
        <f t="shared" si="23"/>
        <v>0</v>
      </c>
      <c r="H102" s="515">
        <f t="shared" si="23"/>
        <v>0</v>
      </c>
      <c r="I102" s="515">
        <f t="shared" si="23"/>
        <v>0</v>
      </c>
      <c r="J102" s="515">
        <f t="shared" si="23"/>
        <v>20000</v>
      </c>
      <c r="K102" s="515">
        <f t="shared" si="23"/>
        <v>20000</v>
      </c>
      <c r="L102" s="515">
        <f t="shared" si="23"/>
        <v>20000</v>
      </c>
      <c r="M102" s="515">
        <f t="shared" si="23"/>
        <v>20000</v>
      </c>
      <c r="N102" s="537">
        <f t="shared" si="23"/>
        <v>180000</v>
      </c>
    </row>
    <row r="103" spans="1:14" ht="15">
      <c r="A103" s="516" t="s">
        <v>182</v>
      </c>
      <c r="B103" s="515">
        <f t="shared" si="23"/>
        <v>20000</v>
      </c>
      <c r="C103" s="515">
        <f t="shared" si="23"/>
        <v>20000</v>
      </c>
      <c r="D103" s="515">
        <f t="shared" si="23"/>
        <v>20000</v>
      </c>
      <c r="E103" s="515">
        <f t="shared" si="23"/>
        <v>20000</v>
      </c>
      <c r="F103" s="515">
        <f t="shared" si="23"/>
        <v>20000</v>
      </c>
      <c r="G103" s="515">
        <f t="shared" si="23"/>
        <v>0</v>
      </c>
      <c r="H103" s="515">
        <f t="shared" si="23"/>
        <v>0</v>
      </c>
      <c r="I103" s="515">
        <f t="shared" si="23"/>
        <v>0</v>
      </c>
      <c r="J103" s="515">
        <f t="shared" si="23"/>
        <v>20000</v>
      </c>
      <c r="K103" s="515">
        <f t="shared" si="23"/>
        <v>20000</v>
      </c>
      <c r="L103" s="515">
        <f t="shared" si="23"/>
        <v>20000</v>
      </c>
      <c r="M103" s="515">
        <f t="shared" si="23"/>
        <v>20000</v>
      </c>
      <c r="N103" s="537">
        <f t="shared" si="23"/>
        <v>180000</v>
      </c>
    </row>
    <row r="104" spans="1:14" ht="15.75" thickBot="1">
      <c r="A104" s="546" t="s">
        <v>176</v>
      </c>
      <c r="B104" s="547">
        <f t="shared" ref="B104:N104" si="24">B103-0</f>
        <v>20000</v>
      </c>
      <c r="C104" s="547">
        <f t="shared" si="24"/>
        <v>20000</v>
      </c>
      <c r="D104" s="547">
        <f t="shared" si="24"/>
        <v>20000</v>
      </c>
      <c r="E104" s="547">
        <f t="shared" si="24"/>
        <v>20000</v>
      </c>
      <c r="F104" s="547">
        <f t="shared" si="24"/>
        <v>20000</v>
      </c>
      <c r="G104" s="547">
        <f t="shared" si="24"/>
        <v>0</v>
      </c>
      <c r="H104" s="547">
        <f t="shared" si="24"/>
        <v>0</v>
      </c>
      <c r="I104" s="547">
        <f t="shared" si="24"/>
        <v>0</v>
      </c>
      <c r="J104" s="547">
        <f t="shared" si="24"/>
        <v>20000</v>
      </c>
      <c r="K104" s="547">
        <f t="shared" si="24"/>
        <v>20000</v>
      </c>
      <c r="L104" s="547">
        <f t="shared" si="24"/>
        <v>20000</v>
      </c>
      <c r="M104" s="547">
        <f t="shared" si="24"/>
        <v>20000</v>
      </c>
      <c r="N104" s="543">
        <f t="shared" si="24"/>
        <v>180000</v>
      </c>
    </row>
    <row r="105" spans="1:14" ht="12.75">
      <c r="A105" s="548"/>
      <c r="B105" s="549"/>
      <c r="C105" s="549"/>
      <c r="D105" s="549"/>
      <c r="E105" s="549"/>
      <c r="F105" s="549"/>
      <c r="G105" s="549"/>
      <c r="H105" s="549"/>
      <c r="I105" s="549"/>
      <c r="J105" s="549"/>
      <c r="K105" s="549"/>
      <c r="L105" s="549"/>
      <c r="N105" s="514"/>
    </row>
    <row r="106" spans="1:14" ht="12.75">
      <c r="A106" s="548"/>
      <c r="B106" s="549"/>
      <c r="C106" s="549"/>
      <c r="D106" s="549"/>
      <c r="E106" s="549"/>
      <c r="F106" s="549"/>
      <c r="G106" s="549"/>
      <c r="H106" s="549"/>
      <c r="I106" s="549"/>
      <c r="J106" s="549"/>
      <c r="K106" s="549"/>
      <c r="L106" s="549"/>
      <c r="N106" s="514"/>
    </row>
    <row r="107" spans="1:14" ht="15.75" thickBot="1">
      <c r="A107" s="550" t="s">
        <v>175</v>
      </c>
      <c r="B107" s="551">
        <f t="shared" ref="B107:N107" si="25">B96+B104</f>
        <v>1011.8500000000022</v>
      </c>
      <c r="C107" s="551">
        <f t="shared" si="25"/>
        <v>-1201.2099999999991</v>
      </c>
      <c r="D107" s="551">
        <f t="shared" si="25"/>
        <v>5514.1800000000021</v>
      </c>
      <c r="E107" s="551">
        <f t="shared" si="25"/>
        <v>17581.63</v>
      </c>
      <c r="F107" s="551">
        <f t="shared" si="25"/>
        <v>11259.509999999995</v>
      </c>
      <c r="G107" s="551">
        <f t="shared" si="25"/>
        <v>-4916.9200000000055</v>
      </c>
      <c r="H107" s="551">
        <f t="shared" si="25"/>
        <v>4239.9300000000076</v>
      </c>
      <c r="I107" s="551">
        <f t="shared" si="25"/>
        <v>-19258.120000000003</v>
      </c>
      <c r="J107" s="551">
        <f t="shared" si="25"/>
        <v>1266.0000000000036</v>
      </c>
      <c r="K107" s="551">
        <f t="shared" si="25"/>
        <v>5428.2400000000034</v>
      </c>
      <c r="L107" s="551">
        <f t="shared" si="25"/>
        <v>2206.1299999999974</v>
      </c>
      <c r="M107" s="551">
        <f t="shared" si="25"/>
        <v>-10791.229999999996</v>
      </c>
      <c r="N107" s="552">
        <f t="shared" si="25"/>
        <v>12339.989999999932</v>
      </c>
    </row>
    <row r="108" spans="1:14" ht="15" thickTop="1"/>
  </sheetData>
  <mergeCells count="5">
    <mergeCell ref="A1:N1"/>
    <mergeCell ref="A2:N2"/>
    <mergeCell ref="A3:N3"/>
    <mergeCell ref="A4:N4"/>
    <mergeCell ref="A5:N5"/>
  </mergeCells>
  <pageMargins left="0.75" right="0.75" top="1" bottom="1" header="0.5" footer="0.5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B650-91F2-436F-9B83-B4CE1BC5E749}">
  <sheetPr>
    <tabColor rgb="FFFFFF00"/>
  </sheetPr>
  <dimension ref="A1:I88"/>
  <sheetViews>
    <sheetView workbookViewId="0">
      <pane xSplit="1" ySplit="6" topLeftCell="B37" activePane="bottomRight" state="frozen"/>
      <selection activeCell="F36" sqref="F36"/>
      <selection pane="topRight" activeCell="F36" sqref="F36"/>
      <selection pane="bottomLeft" activeCell="F36" sqref="F36"/>
      <selection pane="bottomRight" activeCell="F36" sqref="F36"/>
    </sheetView>
  </sheetViews>
  <sheetFormatPr defaultColWidth="8.77734375" defaultRowHeight="12"/>
  <cols>
    <col min="1" max="1" width="33.5546875" style="468" bestFit="1" customWidth="1"/>
    <col min="2" max="2" width="6.21875" style="468" bestFit="1" customWidth="1"/>
    <col min="3" max="3" width="6.5546875" style="468" bestFit="1" customWidth="1"/>
    <col min="4" max="6" width="7.21875" style="468" bestFit="1" customWidth="1"/>
    <col min="7" max="8" width="6.77734375" style="468" bestFit="1" customWidth="1"/>
    <col min="9" max="9" width="10.6640625" style="469" customWidth="1"/>
    <col min="10" max="16384" width="8.77734375" style="468"/>
  </cols>
  <sheetData>
    <row r="1" spans="1:9" ht="15.75">
      <c r="A1" s="783" t="s">
        <v>269</v>
      </c>
      <c r="B1" s="783"/>
      <c r="C1" s="783"/>
      <c r="D1" s="783"/>
      <c r="E1" s="783"/>
      <c r="F1" s="783"/>
      <c r="G1" s="783"/>
      <c r="H1" s="783"/>
      <c r="I1" s="783"/>
    </row>
    <row r="2" spans="1:9" ht="15.75">
      <c r="A2" s="783" t="s">
        <v>268</v>
      </c>
      <c r="B2" s="783"/>
      <c r="C2" s="783"/>
      <c r="D2" s="783"/>
      <c r="E2" s="783"/>
      <c r="F2" s="783"/>
      <c r="G2" s="783"/>
      <c r="H2" s="783"/>
      <c r="I2" s="783"/>
    </row>
    <row r="3" spans="1:9" ht="18">
      <c r="A3" s="784" t="s">
        <v>267</v>
      </c>
      <c r="B3" s="784"/>
      <c r="C3" s="784"/>
      <c r="D3" s="784"/>
      <c r="E3" s="784"/>
      <c r="F3" s="784"/>
      <c r="G3" s="784"/>
      <c r="H3" s="784"/>
      <c r="I3" s="784"/>
    </row>
    <row r="4" spans="1:9" ht="18">
      <c r="A4" s="784" t="s">
        <v>266</v>
      </c>
      <c r="B4" s="784"/>
      <c r="C4" s="784"/>
      <c r="D4" s="784"/>
      <c r="E4" s="784"/>
      <c r="F4" s="784"/>
      <c r="G4" s="784"/>
      <c r="H4" s="784"/>
      <c r="I4" s="784"/>
    </row>
    <row r="5" spans="1:9" ht="12.75">
      <c r="A5" s="495" t="s">
        <v>265</v>
      </c>
      <c r="B5" s="496" t="s">
        <v>264</v>
      </c>
      <c r="C5" s="496" t="s">
        <v>263</v>
      </c>
      <c r="D5" s="496" t="s">
        <v>262</v>
      </c>
      <c r="E5" s="496" t="s">
        <v>261</v>
      </c>
      <c r="F5" s="496" t="s">
        <v>260</v>
      </c>
      <c r="G5" s="496" t="s">
        <v>259</v>
      </c>
      <c r="H5" s="496" t="s">
        <v>258</v>
      </c>
      <c r="I5" s="494" t="s">
        <v>257</v>
      </c>
    </row>
    <row r="6" spans="1:9" ht="12.75">
      <c r="A6" s="495" t="s">
        <v>256</v>
      </c>
      <c r="B6" s="496" t="s">
        <v>255</v>
      </c>
      <c r="C6" s="496" t="s">
        <v>255</v>
      </c>
      <c r="D6" s="496" t="s">
        <v>255</v>
      </c>
      <c r="E6" s="496" t="s">
        <v>255</v>
      </c>
      <c r="F6" s="496" t="s">
        <v>255</v>
      </c>
      <c r="G6" s="496" t="s">
        <v>255</v>
      </c>
      <c r="H6" s="496" t="s">
        <v>255</v>
      </c>
      <c r="I6" s="494" t="s">
        <v>255</v>
      </c>
    </row>
    <row r="7" spans="1:9">
      <c r="A7" s="484" t="s">
        <v>254</v>
      </c>
      <c r="B7" s="481"/>
      <c r="C7" s="481"/>
      <c r="D7" s="481"/>
      <c r="E7" s="481"/>
      <c r="F7" s="481"/>
      <c r="G7" s="481"/>
      <c r="H7" s="481"/>
      <c r="I7" s="480"/>
    </row>
    <row r="8" spans="1:9">
      <c r="A8" s="483" t="s">
        <v>253</v>
      </c>
      <c r="B8" s="481"/>
      <c r="C8" s="481"/>
      <c r="D8" s="481"/>
      <c r="E8" s="481"/>
      <c r="F8" s="481"/>
      <c r="G8" s="481"/>
      <c r="H8" s="481"/>
      <c r="I8" s="480"/>
    </row>
    <row r="9" spans="1:9">
      <c r="A9" s="482" t="s">
        <v>252</v>
      </c>
      <c r="B9" s="481"/>
      <c r="C9" s="481"/>
      <c r="D9" s="481"/>
      <c r="E9" s="481"/>
      <c r="F9" s="481"/>
      <c r="G9" s="481"/>
      <c r="H9" s="481"/>
      <c r="I9" s="480"/>
    </row>
    <row r="10" spans="1:9" ht="12.75">
      <c r="A10" s="479" t="s">
        <v>251</v>
      </c>
      <c r="B10" s="478">
        <v>0</v>
      </c>
      <c r="C10" s="478">
        <v>0</v>
      </c>
      <c r="D10" s="478">
        <v>0</v>
      </c>
      <c r="E10" s="478">
        <v>0</v>
      </c>
      <c r="F10" s="478">
        <v>1404</v>
      </c>
      <c r="G10" s="478">
        <v>0</v>
      </c>
      <c r="H10" s="478">
        <v>0</v>
      </c>
      <c r="I10" s="477">
        <f>SUM(B10:H10)</f>
        <v>1404</v>
      </c>
    </row>
    <row r="11" spans="1:9" ht="12.75">
      <c r="A11" s="479" t="s">
        <v>250</v>
      </c>
      <c r="B11" s="478">
        <v>0</v>
      </c>
      <c r="C11" s="478">
        <v>0</v>
      </c>
      <c r="D11" s="478">
        <v>0</v>
      </c>
      <c r="E11" s="478">
        <v>2502.5</v>
      </c>
      <c r="F11" s="478">
        <v>136</v>
      </c>
      <c r="G11" s="478">
        <v>456</v>
      </c>
      <c r="H11" s="478">
        <v>0</v>
      </c>
      <c r="I11" s="477">
        <f>SUM(B11:H11)</f>
        <v>3094.5</v>
      </c>
    </row>
    <row r="12" spans="1:9" ht="12.75">
      <c r="A12" s="476" t="s">
        <v>249</v>
      </c>
      <c r="B12" s="474">
        <f t="shared" ref="B12:I12" si="0">SUM(B10:B11)</f>
        <v>0</v>
      </c>
      <c r="C12" s="474">
        <f t="shared" si="0"/>
        <v>0</v>
      </c>
      <c r="D12" s="474">
        <f t="shared" si="0"/>
        <v>0</v>
      </c>
      <c r="E12" s="474">
        <f t="shared" si="0"/>
        <v>2502.5</v>
      </c>
      <c r="F12" s="474">
        <f t="shared" si="0"/>
        <v>1540</v>
      </c>
      <c r="G12" s="474">
        <f t="shared" si="0"/>
        <v>456</v>
      </c>
      <c r="H12" s="474">
        <f t="shared" si="0"/>
        <v>0</v>
      </c>
      <c r="I12" s="473">
        <f t="shared" si="0"/>
        <v>4498.5</v>
      </c>
    </row>
    <row r="13" spans="1:9" ht="12.75">
      <c r="A13" s="493" t="s">
        <v>248</v>
      </c>
      <c r="B13" s="478">
        <v>0</v>
      </c>
      <c r="C13" s="478">
        <v>0</v>
      </c>
      <c r="D13" s="478">
        <v>0</v>
      </c>
      <c r="E13" s="478">
        <v>7735.5</v>
      </c>
      <c r="F13" s="478">
        <v>1017.45</v>
      </c>
      <c r="G13" s="478">
        <v>9476.65</v>
      </c>
      <c r="H13" s="478">
        <v>400</v>
      </c>
      <c r="I13" s="477">
        <f>SUM(B13:H13)</f>
        <v>18629.599999999999</v>
      </c>
    </row>
    <row r="14" spans="1:9" ht="12.75">
      <c r="A14" s="493" t="s">
        <v>247</v>
      </c>
      <c r="B14" s="478">
        <v>0</v>
      </c>
      <c r="C14" s="478">
        <v>0</v>
      </c>
      <c r="D14" s="478">
        <v>0</v>
      </c>
      <c r="E14" s="478">
        <v>0</v>
      </c>
      <c r="F14" s="478">
        <v>0</v>
      </c>
      <c r="G14" s="478">
        <v>20000</v>
      </c>
      <c r="H14" s="478">
        <v>20000</v>
      </c>
      <c r="I14" s="477">
        <f>SUM(B14:H14)</f>
        <v>40000</v>
      </c>
    </row>
    <row r="15" spans="1:9" ht="12.75">
      <c r="A15" s="493" t="s">
        <v>246</v>
      </c>
      <c r="B15" s="478">
        <v>0</v>
      </c>
      <c r="C15" s="478">
        <v>0</v>
      </c>
      <c r="D15" s="478">
        <v>0</v>
      </c>
      <c r="E15" s="478">
        <v>0</v>
      </c>
      <c r="F15" s="478">
        <v>117</v>
      </c>
      <c r="G15" s="478">
        <v>0</v>
      </c>
      <c r="H15" s="478">
        <v>0</v>
      </c>
      <c r="I15" s="477">
        <f>SUM(B15:H15)</f>
        <v>117</v>
      </c>
    </row>
    <row r="16" spans="1:9" ht="12.75">
      <c r="A16" s="482" t="s">
        <v>245</v>
      </c>
      <c r="B16" s="481"/>
      <c r="C16" s="481"/>
      <c r="D16" s="481"/>
      <c r="E16" s="481"/>
      <c r="F16" s="481"/>
      <c r="G16" s="481"/>
      <c r="H16" s="481"/>
      <c r="I16" s="492"/>
    </row>
    <row r="17" spans="1:9" ht="12.75">
      <c r="A17" s="479" t="s">
        <v>245</v>
      </c>
      <c r="B17" s="478">
        <v>0</v>
      </c>
      <c r="C17" s="478">
        <v>0</v>
      </c>
      <c r="D17" s="478">
        <v>155</v>
      </c>
      <c r="E17" s="478">
        <v>0</v>
      </c>
      <c r="F17" s="478">
        <v>80</v>
      </c>
      <c r="G17" s="478">
        <v>0</v>
      </c>
      <c r="H17" s="478">
        <v>0</v>
      </c>
      <c r="I17" s="477">
        <f>SUM(B17:H17)</f>
        <v>235</v>
      </c>
    </row>
    <row r="18" spans="1:9" ht="12.75">
      <c r="A18" s="479" t="s">
        <v>244</v>
      </c>
      <c r="B18" s="478">
        <v>0</v>
      </c>
      <c r="C18" s="478">
        <v>0</v>
      </c>
      <c r="D18" s="478">
        <v>0</v>
      </c>
      <c r="E18" s="478">
        <v>0</v>
      </c>
      <c r="F18" s="478">
        <v>0</v>
      </c>
      <c r="G18" s="478">
        <v>0</v>
      </c>
      <c r="H18" s="478">
        <v>160</v>
      </c>
      <c r="I18" s="477">
        <f>SUM(B18:H18)</f>
        <v>160</v>
      </c>
    </row>
    <row r="19" spans="1:9" ht="12.75">
      <c r="A19" s="476" t="s">
        <v>243</v>
      </c>
      <c r="B19" s="474">
        <f t="shared" ref="B19:I19" si="1">SUM(B17:B18)</f>
        <v>0</v>
      </c>
      <c r="C19" s="474">
        <f t="shared" si="1"/>
        <v>0</v>
      </c>
      <c r="D19" s="474">
        <f t="shared" si="1"/>
        <v>155</v>
      </c>
      <c r="E19" s="474">
        <f t="shared" si="1"/>
        <v>0</v>
      </c>
      <c r="F19" s="474">
        <f t="shared" si="1"/>
        <v>80</v>
      </c>
      <c r="G19" s="474">
        <f t="shared" si="1"/>
        <v>0</v>
      </c>
      <c r="H19" s="474">
        <f t="shared" si="1"/>
        <v>160</v>
      </c>
      <c r="I19" s="473">
        <f t="shared" si="1"/>
        <v>395</v>
      </c>
    </row>
    <row r="20" spans="1:9" ht="12.75">
      <c r="A20" s="475" t="s">
        <v>242</v>
      </c>
      <c r="B20" s="474">
        <f t="shared" ref="B20:I20" si="2">SUM(B12:B15,B19)</f>
        <v>0</v>
      </c>
      <c r="C20" s="474">
        <f t="shared" si="2"/>
        <v>0</v>
      </c>
      <c r="D20" s="474">
        <f t="shared" si="2"/>
        <v>155</v>
      </c>
      <c r="E20" s="474">
        <f t="shared" si="2"/>
        <v>10238</v>
      </c>
      <c r="F20" s="474">
        <f t="shared" si="2"/>
        <v>2754.45</v>
      </c>
      <c r="G20" s="474">
        <f t="shared" si="2"/>
        <v>29932.65</v>
      </c>
      <c r="H20" s="474">
        <f t="shared" si="2"/>
        <v>20560</v>
      </c>
      <c r="I20" s="473">
        <f t="shared" si="2"/>
        <v>63640.1</v>
      </c>
    </row>
    <row r="21" spans="1:9" ht="12.75">
      <c r="A21" s="491" t="s">
        <v>241</v>
      </c>
      <c r="B21" s="471">
        <f t="shared" ref="B21:I21" si="3">B20-0</f>
        <v>0</v>
      </c>
      <c r="C21" s="471">
        <f t="shared" si="3"/>
        <v>0</v>
      </c>
      <c r="D21" s="471">
        <f t="shared" si="3"/>
        <v>155</v>
      </c>
      <c r="E21" s="471">
        <f t="shared" si="3"/>
        <v>10238</v>
      </c>
      <c r="F21" s="471">
        <f t="shared" si="3"/>
        <v>2754.45</v>
      </c>
      <c r="G21" s="471">
        <f t="shared" si="3"/>
        <v>29932.65</v>
      </c>
      <c r="H21" s="471">
        <f t="shared" si="3"/>
        <v>20560</v>
      </c>
      <c r="I21" s="470">
        <f t="shared" si="3"/>
        <v>63640.1</v>
      </c>
    </row>
    <row r="22" spans="1:9">
      <c r="A22" s="483" t="s">
        <v>240</v>
      </c>
      <c r="B22" s="481"/>
      <c r="C22" s="481"/>
      <c r="D22" s="481"/>
      <c r="E22" s="481"/>
      <c r="F22" s="481"/>
      <c r="G22" s="481"/>
      <c r="H22" s="481"/>
      <c r="I22" s="480"/>
    </row>
    <row r="23" spans="1:9">
      <c r="A23" s="482" t="s">
        <v>239</v>
      </c>
      <c r="B23" s="481"/>
      <c r="C23" s="481"/>
      <c r="D23" s="481"/>
      <c r="E23" s="481"/>
      <c r="F23" s="481"/>
      <c r="G23" s="481"/>
      <c r="H23" s="481"/>
      <c r="I23" s="480"/>
    </row>
    <row r="24" spans="1:9">
      <c r="A24" s="487" t="s">
        <v>238</v>
      </c>
      <c r="B24" s="481"/>
      <c r="C24" s="481"/>
      <c r="D24" s="481"/>
      <c r="E24" s="481"/>
      <c r="F24" s="481"/>
      <c r="G24" s="481"/>
      <c r="H24" s="481"/>
      <c r="I24" s="480"/>
    </row>
    <row r="25" spans="1:9" ht="12.75">
      <c r="A25" s="486" t="s">
        <v>238</v>
      </c>
      <c r="B25" s="478">
        <v>0</v>
      </c>
      <c r="C25" s="478">
        <v>0</v>
      </c>
      <c r="D25" s="478">
        <v>6021.56</v>
      </c>
      <c r="E25" s="478">
        <v>8707.48</v>
      </c>
      <c r="F25" s="478">
        <v>4846.32</v>
      </c>
      <c r="G25" s="478">
        <v>4854.97</v>
      </c>
      <c r="H25" s="478">
        <v>4687.8</v>
      </c>
      <c r="I25" s="477">
        <f>SUM(B25:H25)</f>
        <v>29118.13</v>
      </c>
    </row>
    <row r="26" spans="1:9" ht="12.75">
      <c r="A26" s="486" t="s">
        <v>237</v>
      </c>
      <c r="B26" s="478">
        <v>0</v>
      </c>
      <c r="C26" s="478">
        <v>0</v>
      </c>
      <c r="D26" s="478">
        <v>0</v>
      </c>
      <c r="E26" s="478">
        <v>4680</v>
      </c>
      <c r="F26" s="478">
        <v>0</v>
      </c>
      <c r="G26" s="478">
        <v>0</v>
      </c>
      <c r="H26" s="478">
        <v>0</v>
      </c>
      <c r="I26" s="477">
        <f>SUM(B26:H26)</f>
        <v>4680</v>
      </c>
    </row>
    <row r="27" spans="1:9" ht="12.75">
      <c r="A27" s="485" t="s">
        <v>236</v>
      </c>
      <c r="B27" s="474">
        <f t="shared" ref="B27:I27" si="4">SUM(B25:B26)</f>
        <v>0</v>
      </c>
      <c r="C27" s="474">
        <f t="shared" si="4"/>
        <v>0</v>
      </c>
      <c r="D27" s="474">
        <f t="shared" si="4"/>
        <v>6021.56</v>
      </c>
      <c r="E27" s="474">
        <f t="shared" si="4"/>
        <v>13387.48</v>
      </c>
      <c r="F27" s="474">
        <f t="shared" si="4"/>
        <v>4846.32</v>
      </c>
      <c r="G27" s="474">
        <f t="shared" si="4"/>
        <v>4854.97</v>
      </c>
      <c r="H27" s="474">
        <f t="shared" si="4"/>
        <v>4687.8</v>
      </c>
      <c r="I27" s="473">
        <f t="shared" si="4"/>
        <v>33798.130000000005</v>
      </c>
    </row>
    <row r="28" spans="1:9">
      <c r="A28" s="487" t="s">
        <v>235</v>
      </c>
      <c r="B28" s="481"/>
      <c r="C28" s="481"/>
      <c r="D28" s="481"/>
      <c r="E28" s="481"/>
      <c r="F28" s="481"/>
      <c r="G28" s="481"/>
      <c r="H28" s="481"/>
      <c r="I28" s="480"/>
    </row>
    <row r="29" spans="1:9" ht="12.75">
      <c r="A29" s="486" t="s">
        <v>234</v>
      </c>
      <c r="B29" s="478">
        <v>0</v>
      </c>
      <c r="C29" s="478">
        <v>0</v>
      </c>
      <c r="D29" s="478">
        <v>249.6</v>
      </c>
      <c r="E29" s="478">
        <v>249.6</v>
      </c>
      <c r="F29" s="478">
        <v>124.8</v>
      </c>
      <c r="G29" s="478">
        <v>124.8</v>
      </c>
      <c r="H29" s="478">
        <v>187.2</v>
      </c>
      <c r="I29" s="477">
        <f>SUM(B29:H29)</f>
        <v>936</v>
      </c>
    </row>
    <row r="30" spans="1:9" ht="12.75">
      <c r="A30" s="486" t="s">
        <v>233</v>
      </c>
      <c r="B30" s="478">
        <v>0</v>
      </c>
      <c r="C30" s="478">
        <v>0</v>
      </c>
      <c r="D30" s="478">
        <v>389.79</v>
      </c>
      <c r="E30" s="478">
        <v>595.27</v>
      </c>
      <c r="F30" s="478">
        <v>299.87</v>
      </c>
      <c r="G30" s="478">
        <v>300.56</v>
      </c>
      <c r="H30" s="478">
        <v>287.76</v>
      </c>
      <c r="I30" s="477">
        <f>SUM(B30:H30)</f>
        <v>1873.2499999999998</v>
      </c>
    </row>
    <row r="31" spans="1:9">
      <c r="A31" s="490" t="s">
        <v>232</v>
      </c>
      <c r="B31" s="481"/>
      <c r="C31" s="481"/>
      <c r="D31" s="481"/>
      <c r="E31" s="481"/>
      <c r="F31" s="481"/>
      <c r="G31" s="481"/>
      <c r="H31" s="481"/>
      <c r="I31" s="480"/>
    </row>
    <row r="32" spans="1:9" ht="12.75">
      <c r="A32" s="489" t="s">
        <v>231</v>
      </c>
      <c r="B32" s="478">
        <v>0</v>
      </c>
      <c r="C32" s="478">
        <v>0</v>
      </c>
      <c r="D32" s="478">
        <v>1144.3</v>
      </c>
      <c r="E32" s="478">
        <v>1144.3</v>
      </c>
      <c r="F32" s="478">
        <v>1144.3</v>
      </c>
      <c r="G32" s="478">
        <v>1144.3</v>
      </c>
      <c r="H32" s="478">
        <v>1144.3</v>
      </c>
      <c r="I32" s="477">
        <f>SUM(B32:H32)</f>
        <v>5721.5</v>
      </c>
    </row>
    <row r="33" spans="1:9" ht="12.75">
      <c r="A33" s="488" t="s">
        <v>230</v>
      </c>
      <c r="B33" s="474">
        <f t="shared" ref="B33:I33" si="5">SUM(B32)</f>
        <v>0</v>
      </c>
      <c r="C33" s="474">
        <f t="shared" si="5"/>
        <v>0</v>
      </c>
      <c r="D33" s="474">
        <f t="shared" si="5"/>
        <v>1144.3</v>
      </c>
      <c r="E33" s="474">
        <f t="shared" si="5"/>
        <v>1144.3</v>
      </c>
      <c r="F33" s="474">
        <f t="shared" si="5"/>
        <v>1144.3</v>
      </c>
      <c r="G33" s="474">
        <f t="shared" si="5"/>
        <v>1144.3</v>
      </c>
      <c r="H33" s="474">
        <f t="shared" si="5"/>
        <v>1144.3</v>
      </c>
      <c r="I33" s="473">
        <f t="shared" si="5"/>
        <v>5721.5</v>
      </c>
    </row>
    <row r="34" spans="1:9" ht="12.75">
      <c r="A34" s="486" t="s">
        <v>229</v>
      </c>
      <c r="B34" s="478">
        <v>0</v>
      </c>
      <c r="C34" s="478">
        <v>0</v>
      </c>
      <c r="D34" s="478">
        <v>12.11</v>
      </c>
      <c r="E34" s="478">
        <v>12.11</v>
      </c>
      <c r="F34" s="478">
        <v>10.87</v>
      </c>
      <c r="G34" s="478">
        <v>10.87</v>
      </c>
      <c r="H34" s="478">
        <v>10.87</v>
      </c>
      <c r="I34" s="477">
        <f>SUM(B34:H34)</f>
        <v>56.829999999999991</v>
      </c>
    </row>
    <row r="35" spans="1:9" ht="12.75">
      <c r="A35" s="486" t="s">
        <v>228</v>
      </c>
      <c r="B35" s="478">
        <v>0</v>
      </c>
      <c r="C35" s="478">
        <v>0</v>
      </c>
      <c r="D35" s="478">
        <v>10.26</v>
      </c>
      <c r="E35" s="478">
        <v>0</v>
      </c>
      <c r="F35" s="478">
        <v>405.39</v>
      </c>
      <c r="G35" s="478">
        <v>106.07</v>
      </c>
      <c r="H35" s="478">
        <v>101.56</v>
      </c>
      <c r="I35" s="477">
        <f>SUM(B35:H35)</f>
        <v>623.28</v>
      </c>
    </row>
    <row r="36" spans="1:9" ht="12.75">
      <c r="A36" s="486" t="s">
        <v>227</v>
      </c>
      <c r="B36" s="478">
        <v>0</v>
      </c>
      <c r="C36" s="478">
        <v>0</v>
      </c>
      <c r="D36" s="478">
        <v>152.86000000000001</v>
      </c>
      <c r="E36" s="478">
        <v>233.44</v>
      </c>
      <c r="F36" s="478">
        <v>117.6</v>
      </c>
      <c r="G36" s="478">
        <v>117.86</v>
      </c>
      <c r="H36" s="478">
        <v>112.85</v>
      </c>
      <c r="I36" s="477">
        <f>SUM(B36:H36)</f>
        <v>734.61</v>
      </c>
    </row>
    <row r="37" spans="1:9" ht="12.75">
      <c r="A37" s="485" t="s">
        <v>226</v>
      </c>
      <c r="B37" s="474">
        <f t="shared" ref="B37:I37" si="6">SUM(B29:B30,B33:B36)</f>
        <v>0</v>
      </c>
      <c r="C37" s="474">
        <f t="shared" si="6"/>
        <v>0</v>
      </c>
      <c r="D37" s="474">
        <f t="shared" si="6"/>
        <v>1958.92</v>
      </c>
      <c r="E37" s="474">
        <f t="shared" si="6"/>
        <v>2234.7199999999998</v>
      </c>
      <c r="F37" s="474">
        <f t="shared" si="6"/>
        <v>2102.83</v>
      </c>
      <c r="G37" s="474">
        <f t="shared" si="6"/>
        <v>1804.4599999999996</v>
      </c>
      <c r="H37" s="474">
        <f t="shared" si="6"/>
        <v>1844.5399999999997</v>
      </c>
      <c r="I37" s="473">
        <f t="shared" si="6"/>
        <v>9945.4700000000012</v>
      </c>
    </row>
    <row r="38" spans="1:9">
      <c r="A38" s="487" t="s">
        <v>225</v>
      </c>
      <c r="B38" s="481"/>
      <c r="C38" s="481"/>
      <c r="D38" s="481"/>
      <c r="E38" s="481"/>
      <c r="F38" s="481"/>
      <c r="G38" s="481"/>
      <c r="H38" s="481"/>
      <c r="I38" s="480"/>
    </row>
    <row r="39" spans="1:9" ht="12.75">
      <c r="A39" s="486" t="s">
        <v>224</v>
      </c>
      <c r="B39" s="478">
        <v>0</v>
      </c>
      <c r="C39" s="478">
        <v>0</v>
      </c>
      <c r="D39" s="478">
        <v>0</v>
      </c>
      <c r="E39" s="478">
        <v>0</v>
      </c>
      <c r="F39" s="478">
        <v>0</v>
      </c>
      <c r="G39" s="478">
        <v>0</v>
      </c>
      <c r="H39" s="478">
        <v>23.74</v>
      </c>
      <c r="I39" s="477">
        <f>SUM(B39:H39)</f>
        <v>23.74</v>
      </c>
    </row>
    <row r="40" spans="1:9" ht="12.75">
      <c r="A40" s="485" t="s">
        <v>223</v>
      </c>
      <c r="B40" s="474">
        <f t="shared" ref="B40:I40" si="7">SUM(B39)</f>
        <v>0</v>
      </c>
      <c r="C40" s="474">
        <f t="shared" si="7"/>
        <v>0</v>
      </c>
      <c r="D40" s="474">
        <f t="shared" si="7"/>
        <v>0</v>
      </c>
      <c r="E40" s="474">
        <f t="shared" si="7"/>
        <v>0</v>
      </c>
      <c r="F40" s="474">
        <f t="shared" si="7"/>
        <v>0</v>
      </c>
      <c r="G40" s="474">
        <f t="shared" si="7"/>
        <v>0</v>
      </c>
      <c r="H40" s="474">
        <f t="shared" si="7"/>
        <v>23.74</v>
      </c>
      <c r="I40" s="473">
        <f t="shared" si="7"/>
        <v>23.74</v>
      </c>
    </row>
    <row r="41" spans="1:9" ht="12.75">
      <c r="A41" s="476" t="s">
        <v>222</v>
      </c>
      <c r="B41" s="474">
        <f t="shared" ref="B41:I41" si="8">SUM(B27,B37,B40)</f>
        <v>0</v>
      </c>
      <c r="C41" s="474">
        <f t="shared" si="8"/>
        <v>0</v>
      </c>
      <c r="D41" s="474">
        <f t="shared" si="8"/>
        <v>7980.4800000000005</v>
      </c>
      <c r="E41" s="474">
        <f t="shared" si="8"/>
        <v>15622.199999999999</v>
      </c>
      <c r="F41" s="474">
        <f t="shared" si="8"/>
        <v>6949.15</v>
      </c>
      <c r="G41" s="474">
        <f t="shared" si="8"/>
        <v>6659.43</v>
      </c>
      <c r="H41" s="474">
        <f t="shared" si="8"/>
        <v>6556.08</v>
      </c>
      <c r="I41" s="473">
        <f t="shared" si="8"/>
        <v>43767.340000000004</v>
      </c>
    </row>
    <row r="42" spans="1:9">
      <c r="A42" s="482" t="s">
        <v>221</v>
      </c>
      <c r="B42" s="481"/>
      <c r="C42" s="481"/>
      <c r="D42" s="481"/>
      <c r="E42" s="481"/>
      <c r="F42" s="481"/>
      <c r="G42" s="481"/>
      <c r="H42" s="481"/>
      <c r="I42" s="480"/>
    </row>
    <row r="43" spans="1:9">
      <c r="A43" s="487" t="s">
        <v>220</v>
      </c>
      <c r="B43" s="481"/>
      <c r="C43" s="481"/>
      <c r="D43" s="481"/>
      <c r="E43" s="481"/>
      <c r="F43" s="481"/>
      <c r="G43" s="481"/>
      <c r="H43" s="481"/>
      <c r="I43" s="480"/>
    </row>
    <row r="44" spans="1:9" ht="12.75">
      <c r="A44" s="486" t="s">
        <v>219</v>
      </c>
      <c r="B44" s="478">
        <v>0</v>
      </c>
      <c r="C44" s="478">
        <v>0</v>
      </c>
      <c r="D44" s="478">
        <v>5281</v>
      </c>
      <c r="E44" s="478">
        <v>5793</v>
      </c>
      <c r="F44" s="478">
        <v>5409</v>
      </c>
      <c r="G44" s="478">
        <v>5778</v>
      </c>
      <c r="H44" s="478">
        <v>5281</v>
      </c>
      <c r="I44" s="477">
        <f>SUM(B44:H44)</f>
        <v>27542</v>
      </c>
    </row>
    <row r="45" spans="1:9" ht="12.75">
      <c r="A45" s="485" t="s">
        <v>218</v>
      </c>
      <c r="B45" s="474">
        <f t="shared" ref="B45:I45" si="9">SUM(B44)</f>
        <v>0</v>
      </c>
      <c r="C45" s="474">
        <f t="shared" si="9"/>
        <v>0</v>
      </c>
      <c r="D45" s="474">
        <f t="shared" si="9"/>
        <v>5281</v>
      </c>
      <c r="E45" s="474">
        <f t="shared" si="9"/>
        <v>5793</v>
      </c>
      <c r="F45" s="474">
        <f t="shared" si="9"/>
        <v>5409</v>
      </c>
      <c r="G45" s="474">
        <f t="shared" si="9"/>
        <v>5778</v>
      </c>
      <c r="H45" s="474">
        <f t="shared" si="9"/>
        <v>5281</v>
      </c>
      <c r="I45" s="473">
        <f t="shared" si="9"/>
        <v>27542</v>
      </c>
    </row>
    <row r="46" spans="1:9">
      <c r="A46" s="487" t="s">
        <v>217</v>
      </c>
      <c r="B46" s="481"/>
      <c r="C46" s="481"/>
      <c r="D46" s="481"/>
      <c r="E46" s="481"/>
      <c r="F46" s="481"/>
      <c r="G46" s="481"/>
      <c r="H46" s="481"/>
      <c r="I46" s="480"/>
    </row>
    <row r="47" spans="1:9" ht="12.75">
      <c r="A47" s="486" t="s">
        <v>216</v>
      </c>
      <c r="B47" s="478">
        <v>0</v>
      </c>
      <c r="C47" s="478">
        <v>0</v>
      </c>
      <c r="D47" s="478">
        <v>100.36</v>
      </c>
      <c r="E47" s="478">
        <v>1292.46</v>
      </c>
      <c r="F47" s="478">
        <v>1227.03</v>
      </c>
      <c r="G47" s="478">
        <v>380.15</v>
      </c>
      <c r="H47" s="478">
        <v>-25.64</v>
      </c>
      <c r="I47" s="477">
        <f>SUM(B47:H47)</f>
        <v>2974.36</v>
      </c>
    </row>
    <row r="48" spans="1:9" ht="12.75">
      <c r="A48" s="486" t="s">
        <v>215</v>
      </c>
      <c r="B48" s="478">
        <v>0</v>
      </c>
      <c r="C48" s="478">
        <v>0</v>
      </c>
      <c r="D48" s="478">
        <v>350</v>
      </c>
      <c r="E48" s="478">
        <v>107.05</v>
      </c>
      <c r="F48" s="478">
        <v>0</v>
      </c>
      <c r="G48" s="478">
        <v>0</v>
      </c>
      <c r="H48" s="478">
        <v>0</v>
      </c>
      <c r="I48" s="477">
        <f>SUM(B48:H48)</f>
        <v>457.05</v>
      </c>
    </row>
    <row r="49" spans="1:9" ht="12.75">
      <c r="A49" s="485" t="s">
        <v>214</v>
      </c>
      <c r="B49" s="474">
        <f t="shared" ref="B49:I49" si="10">SUM(B47:B48)</f>
        <v>0</v>
      </c>
      <c r="C49" s="474">
        <f t="shared" si="10"/>
        <v>0</v>
      </c>
      <c r="D49" s="474">
        <f t="shared" si="10"/>
        <v>450.36</v>
      </c>
      <c r="E49" s="474">
        <f t="shared" si="10"/>
        <v>1399.51</v>
      </c>
      <c r="F49" s="474">
        <f t="shared" si="10"/>
        <v>1227.03</v>
      </c>
      <c r="G49" s="474">
        <f t="shared" si="10"/>
        <v>380.15</v>
      </c>
      <c r="H49" s="474">
        <f t="shared" si="10"/>
        <v>-25.64</v>
      </c>
      <c r="I49" s="473">
        <f t="shared" si="10"/>
        <v>3431.4100000000003</v>
      </c>
    </row>
    <row r="50" spans="1:9" ht="12.75">
      <c r="A50" s="479" t="s">
        <v>213</v>
      </c>
      <c r="B50" s="478">
        <v>0</v>
      </c>
      <c r="C50" s="478">
        <v>970.17</v>
      </c>
      <c r="D50" s="478">
        <v>5447.33</v>
      </c>
      <c r="E50" s="478">
        <v>4513.84</v>
      </c>
      <c r="F50" s="478">
        <v>1893.4</v>
      </c>
      <c r="G50" s="478">
        <v>1253.26</v>
      </c>
      <c r="H50" s="478">
        <v>5355.74</v>
      </c>
      <c r="I50" s="477">
        <f>SUM(B50:H50)</f>
        <v>19433.739999999998</v>
      </c>
    </row>
    <row r="51" spans="1:9">
      <c r="A51" s="487" t="s">
        <v>212</v>
      </c>
      <c r="B51" s="481"/>
      <c r="C51" s="481"/>
      <c r="D51" s="481"/>
      <c r="E51" s="481"/>
      <c r="F51" s="481"/>
      <c r="G51" s="481"/>
      <c r="H51" s="481"/>
      <c r="I51" s="480"/>
    </row>
    <row r="52" spans="1:9" ht="12.75">
      <c r="A52" s="486" t="s">
        <v>211</v>
      </c>
      <c r="B52" s="478">
        <v>0</v>
      </c>
      <c r="C52" s="478">
        <v>0</v>
      </c>
      <c r="D52" s="478">
        <v>2140.4</v>
      </c>
      <c r="E52" s="478">
        <v>2140.4</v>
      </c>
      <c r="F52" s="478">
        <v>2140.4</v>
      </c>
      <c r="G52" s="478">
        <v>2140.4</v>
      </c>
      <c r="H52" s="478">
        <v>-7220.06</v>
      </c>
      <c r="I52" s="477">
        <f>SUM(B52:H52)</f>
        <v>1341.54</v>
      </c>
    </row>
    <row r="53" spans="1:9" ht="12.75">
      <c r="A53" s="486" t="s">
        <v>210</v>
      </c>
      <c r="B53" s="478">
        <v>0</v>
      </c>
      <c r="C53" s="478">
        <v>0</v>
      </c>
      <c r="D53" s="478">
        <v>2235.44</v>
      </c>
      <c r="E53" s="478">
        <v>2235.44</v>
      </c>
      <c r="F53" s="478">
        <v>2235.44</v>
      </c>
      <c r="G53" s="478">
        <v>2235.44</v>
      </c>
      <c r="H53" s="478">
        <v>2235.4499999999998</v>
      </c>
      <c r="I53" s="477">
        <f>SUM(B53:H53)</f>
        <v>11177.21</v>
      </c>
    </row>
    <row r="54" spans="1:9" ht="12.75">
      <c r="A54" s="485" t="s">
        <v>209</v>
      </c>
      <c r="B54" s="474">
        <f t="shared" ref="B54:I54" si="11">SUM(B52:B53)</f>
        <v>0</v>
      </c>
      <c r="C54" s="474">
        <f t="shared" si="11"/>
        <v>0</v>
      </c>
      <c r="D54" s="474">
        <f t="shared" si="11"/>
        <v>4375.84</v>
      </c>
      <c r="E54" s="474">
        <f t="shared" si="11"/>
        <v>4375.84</v>
      </c>
      <c r="F54" s="474">
        <f t="shared" si="11"/>
        <v>4375.84</v>
      </c>
      <c r="G54" s="474">
        <f t="shared" si="11"/>
        <v>4375.84</v>
      </c>
      <c r="H54" s="474">
        <f t="shared" si="11"/>
        <v>-4984.6100000000006</v>
      </c>
      <c r="I54" s="473">
        <f t="shared" si="11"/>
        <v>12518.75</v>
      </c>
    </row>
    <row r="55" spans="1:9">
      <c r="A55" s="487" t="s">
        <v>208</v>
      </c>
      <c r="B55" s="481"/>
      <c r="C55" s="481"/>
      <c r="D55" s="481"/>
      <c r="E55" s="481"/>
      <c r="F55" s="481"/>
      <c r="G55" s="481"/>
      <c r="H55" s="481"/>
      <c r="I55" s="480"/>
    </row>
    <row r="56" spans="1:9" ht="12.75">
      <c r="A56" s="486" t="s">
        <v>207</v>
      </c>
      <c r="B56" s="478">
        <v>0</v>
      </c>
      <c r="C56" s="478">
        <v>0</v>
      </c>
      <c r="D56" s="478">
        <v>962.42</v>
      </c>
      <c r="E56" s="478">
        <v>545</v>
      </c>
      <c r="F56" s="478">
        <v>617.79</v>
      </c>
      <c r="G56" s="478">
        <v>548.12</v>
      </c>
      <c r="H56" s="478">
        <v>509.91</v>
      </c>
      <c r="I56" s="477">
        <f>SUM(B56:H56)</f>
        <v>3183.24</v>
      </c>
    </row>
    <row r="57" spans="1:9" ht="12.75">
      <c r="A57" s="486" t="s">
        <v>206</v>
      </c>
      <c r="B57" s="478">
        <v>0</v>
      </c>
      <c r="C57" s="478">
        <v>0</v>
      </c>
      <c r="D57" s="478">
        <v>1440</v>
      </c>
      <c r="E57" s="478">
        <v>3169.36</v>
      </c>
      <c r="F57" s="478">
        <v>701.51</v>
      </c>
      <c r="G57" s="478">
        <v>652.61</v>
      </c>
      <c r="H57" s="478">
        <v>337.36</v>
      </c>
      <c r="I57" s="477">
        <f>SUM(B57:H57)</f>
        <v>6300.84</v>
      </c>
    </row>
    <row r="58" spans="1:9" ht="12.75">
      <c r="A58" s="485" t="s">
        <v>205</v>
      </c>
      <c r="B58" s="474">
        <f t="shared" ref="B58:I58" si="12">SUM(B56:B57)</f>
        <v>0</v>
      </c>
      <c r="C58" s="474">
        <f t="shared" si="12"/>
        <v>0</v>
      </c>
      <c r="D58" s="474">
        <f t="shared" si="12"/>
        <v>2402.42</v>
      </c>
      <c r="E58" s="474">
        <f t="shared" si="12"/>
        <v>3714.36</v>
      </c>
      <c r="F58" s="474">
        <f t="shared" si="12"/>
        <v>1319.3</v>
      </c>
      <c r="G58" s="474">
        <f t="shared" si="12"/>
        <v>1200.73</v>
      </c>
      <c r="H58" s="474">
        <f t="shared" si="12"/>
        <v>847.27</v>
      </c>
      <c r="I58" s="473">
        <f t="shared" si="12"/>
        <v>9484.08</v>
      </c>
    </row>
    <row r="59" spans="1:9" ht="12.75">
      <c r="A59" s="476" t="s">
        <v>204</v>
      </c>
      <c r="B59" s="474">
        <f t="shared" ref="B59:I59" si="13">SUM(B45,B49:B50,B54,B58)</f>
        <v>0</v>
      </c>
      <c r="C59" s="474">
        <f t="shared" si="13"/>
        <v>970.17</v>
      </c>
      <c r="D59" s="474">
        <f t="shared" si="13"/>
        <v>17956.949999999997</v>
      </c>
      <c r="E59" s="474">
        <f t="shared" si="13"/>
        <v>19796.55</v>
      </c>
      <c r="F59" s="474">
        <f t="shared" si="13"/>
        <v>14224.57</v>
      </c>
      <c r="G59" s="474">
        <f t="shared" si="13"/>
        <v>12987.98</v>
      </c>
      <c r="H59" s="474">
        <f t="shared" si="13"/>
        <v>6473.7599999999984</v>
      </c>
      <c r="I59" s="473">
        <f t="shared" si="13"/>
        <v>72409.98</v>
      </c>
    </row>
    <row r="60" spans="1:9">
      <c r="A60" s="482" t="s">
        <v>203</v>
      </c>
      <c r="B60" s="481"/>
      <c r="C60" s="481"/>
      <c r="D60" s="481"/>
      <c r="E60" s="481"/>
      <c r="F60" s="481"/>
      <c r="G60" s="481"/>
      <c r="H60" s="481"/>
      <c r="I60" s="480"/>
    </row>
    <row r="61" spans="1:9">
      <c r="A61" s="487" t="s">
        <v>202</v>
      </c>
      <c r="B61" s="481"/>
      <c r="C61" s="481"/>
      <c r="D61" s="481"/>
      <c r="E61" s="481"/>
      <c r="F61" s="481"/>
      <c r="G61" s="481"/>
      <c r="H61" s="481"/>
      <c r="I61" s="480"/>
    </row>
    <row r="62" spans="1:9" ht="12.75">
      <c r="A62" s="486" t="s">
        <v>201</v>
      </c>
      <c r="B62" s="478">
        <v>0</v>
      </c>
      <c r="C62" s="478">
        <v>50.2</v>
      </c>
      <c r="D62" s="478">
        <v>530.91</v>
      </c>
      <c r="E62" s="478">
        <v>428.54</v>
      </c>
      <c r="F62" s="478">
        <v>121.39</v>
      </c>
      <c r="G62" s="478">
        <v>-108.48</v>
      </c>
      <c r="H62" s="478">
        <v>55</v>
      </c>
      <c r="I62" s="477">
        <f>SUM(B62:H62)</f>
        <v>1077.5600000000002</v>
      </c>
    </row>
    <row r="63" spans="1:9" ht="12.75">
      <c r="A63" s="485" t="s">
        <v>200</v>
      </c>
      <c r="B63" s="474">
        <f t="shared" ref="B63:I63" si="14">SUM(B62)</f>
        <v>0</v>
      </c>
      <c r="C63" s="474">
        <f t="shared" si="14"/>
        <v>50.2</v>
      </c>
      <c r="D63" s="474">
        <f t="shared" si="14"/>
        <v>530.91</v>
      </c>
      <c r="E63" s="474">
        <f t="shared" si="14"/>
        <v>428.54</v>
      </c>
      <c r="F63" s="474">
        <f t="shared" si="14"/>
        <v>121.39</v>
      </c>
      <c r="G63" s="474">
        <f t="shared" si="14"/>
        <v>-108.48</v>
      </c>
      <c r="H63" s="474">
        <f t="shared" si="14"/>
        <v>55</v>
      </c>
      <c r="I63" s="473">
        <f t="shared" si="14"/>
        <v>1077.5600000000002</v>
      </c>
    </row>
    <row r="64" spans="1:9">
      <c r="A64" s="487" t="s">
        <v>199</v>
      </c>
      <c r="B64" s="481"/>
      <c r="C64" s="481"/>
      <c r="D64" s="481"/>
      <c r="E64" s="481"/>
      <c r="F64" s="481"/>
      <c r="G64" s="481"/>
      <c r="H64" s="481"/>
      <c r="I64" s="480"/>
    </row>
    <row r="65" spans="1:9" ht="12.75">
      <c r="A65" s="486" t="s">
        <v>198</v>
      </c>
      <c r="B65" s="478">
        <v>0</v>
      </c>
      <c r="C65" s="478">
        <v>0</v>
      </c>
      <c r="D65" s="478">
        <v>292.48</v>
      </c>
      <c r="E65" s="478">
        <v>215.65</v>
      </c>
      <c r="F65" s="478">
        <v>251.26</v>
      </c>
      <c r="G65" s="478">
        <v>54.85</v>
      </c>
      <c r="H65" s="478">
        <v>215.55</v>
      </c>
      <c r="I65" s="477">
        <f>SUM(B65:H65)</f>
        <v>1029.79</v>
      </c>
    </row>
    <row r="66" spans="1:9" ht="12.75">
      <c r="A66" s="485" t="s">
        <v>197</v>
      </c>
      <c r="B66" s="474">
        <f t="shared" ref="B66:I66" si="15">SUM(B65)</f>
        <v>0</v>
      </c>
      <c r="C66" s="474">
        <f t="shared" si="15"/>
        <v>0</v>
      </c>
      <c r="D66" s="474">
        <f t="shared" si="15"/>
        <v>292.48</v>
      </c>
      <c r="E66" s="474">
        <f t="shared" si="15"/>
        <v>215.65</v>
      </c>
      <c r="F66" s="474">
        <f t="shared" si="15"/>
        <v>251.26</v>
      </c>
      <c r="G66" s="474">
        <f t="shared" si="15"/>
        <v>54.85</v>
      </c>
      <c r="H66" s="474">
        <f t="shared" si="15"/>
        <v>215.55</v>
      </c>
      <c r="I66" s="473">
        <f t="shared" si="15"/>
        <v>1029.79</v>
      </c>
    </row>
    <row r="67" spans="1:9">
      <c r="A67" s="487" t="s">
        <v>196</v>
      </c>
      <c r="B67" s="481"/>
      <c r="C67" s="481"/>
      <c r="D67" s="481"/>
      <c r="E67" s="481"/>
      <c r="F67" s="481"/>
      <c r="G67" s="481"/>
      <c r="H67" s="481"/>
      <c r="I67" s="480"/>
    </row>
    <row r="68" spans="1:9" ht="12.75">
      <c r="A68" s="486" t="s">
        <v>195</v>
      </c>
      <c r="B68" s="478">
        <v>0</v>
      </c>
      <c r="C68" s="478">
        <v>0</v>
      </c>
      <c r="D68" s="478">
        <v>100</v>
      </c>
      <c r="E68" s="478">
        <v>100</v>
      </c>
      <c r="F68" s="478">
        <v>100</v>
      </c>
      <c r="G68" s="478">
        <v>100</v>
      </c>
      <c r="H68" s="478">
        <v>100</v>
      </c>
      <c r="I68" s="477">
        <f>SUM(B68:H68)</f>
        <v>500</v>
      </c>
    </row>
    <row r="69" spans="1:9" ht="12.75">
      <c r="A69" s="485" t="s">
        <v>194</v>
      </c>
      <c r="B69" s="474">
        <f t="shared" ref="B69:I69" si="16">SUM(B68)</f>
        <v>0</v>
      </c>
      <c r="C69" s="474">
        <f t="shared" si="16"/>
        <v>0</v>
      </c>
      <c r="D69" s="474">
        <f t="shared" si="16"/>
        <v>100</v>
      </c>
      <c r="E69" s="474">
        <f t="shared" si="16"/>
        <v>100</v>
      </c>
      <c r="F69" s="474">
        <f t="shared" si="16"/>
        <v>100</v>
      </c>
      <c r="G69" s="474">
        <f t="shared" si="16"/>
        <v>100</v>
      </c>
      <c r="H69" s="474">
        <f t="shared" si="16"/>
        <v>100</v>
      </c>
      <c r="I69" s="473">
        <f t="shared" si="16"/>
        <v>500</v>
      </c>
    </row>
    <row r="70" spans="1:9" ht="12.75">
      <c r="A70" s="476" t="s">
        <v>193</v>
      </c>
      <c r="B70" s="474">
        <f t="shared" ref="B70:I70" si="17">SUM(B63,B66,B69)</f>
        <v>0</v>
      </c>
      <c r="C70" s="474">
        <f t="shared" si="17"/>
        <v>50.2</v>
      </c>
      <c r="D70" s="474">
        <f t="shared" si="17"/>
        <v>923.39</v>
      </c>
      <c r="E70" s="474">
        <f t="shared" si="17"/>
        <v>744.19</v>
      </c>
      <c r="F70" s="474">
        <f t="shared" si="17"/>
        <v>472.65</v>
      </c>
      <c r="G70" s="474">
        <f t="shared" si="17"/>
        <v>46.37</v>
      </c>
      <c r="H70" s="474">
        <f t="shared" si="17"/>
        <v>370.55</v>
      </c>
      <c r="I70" s="473">
        <f t="shared" si="17"/>
        <v>2607.3500000000004</v>
      </c>
    </row>
    <row r="71" spans="1:9">
      <c r="A71" s="482" t="s">
        <v>192</v>
      </c>
      <c r="B71" s="481"/>
      <c r="C71" s="481"/>
      <c r="D71" s="481"/>
      <c r="E71" s="481"/>
      <c r="F71" s="481"/>
      <c r="G71" s="481"/>
      <c r="H71" s="481"/>
      <c r="I71" s="480"/>
    </row>
    <row r="72" spans="1:9" ht="12.75">
      <c r="A72" s="479" t="s">
        <v>191</v>
      </c>
      <c r="B72" s="478">
        <v>0</v>
      </c>
      <c r="C72" s="478">
        <v>0</v>
      </c>
      <c r="D72" s="478">
        <v>0</v>
      </c>
      <c r="E72" s="478">
        <v>21.96</v>
      </c>
      <c r="F72" s="478">
        <v>25.64</v>
      </c>
      <c r="G72" s="478">
        <v>0</v>
      </c>
      <c r="H72" s="478">
        <v>100</v>
      </c>
      <c r="I72" s="477">
        <f>SUM(B72:H72)</f>
        <v>147.6</v>
      </c>
    </row>
    <row r="73" spans="1:9" ht="12.75">
      <c r="A73" s="476" t="s">
        <v>190</v>
      </c>
      <c r="B73" s="474">
        <f t="shared" ref="B73:I73" si="18">SUM(B72)</f>
        <v>0</v>
      </c>
      <c r="C73" s="474">
        <f t="shared" si="18"/>
        <v>0</v>
      </c>
      <c r="D73" s="474">
        <f t="shared" si="18"/>
        <v>0</v>
      </c>
      <c r="E73" s="474">
        <f t="shared" si="18"/>
        <v>21.96</v>
      </c>
      <c r="F73" s="474">
        <f t="shared" si="18"/>
        <v>25.64</v>
      </c>
      <c r="G73" s="474">
        <f t="shared" si="18"/>
        <v>0</v>
      </c>
      <c r="H73" s="474">
        <f t="shared" si="18"/>
        <v>100</v>
      </c>
      <c r="I73" s="473">
        <f t="shared" si="18"/>
        <v>147.6</v>
      </c>
    </row>
    <row r="74" spans="1:9" ht="12.75">
      <c r="A74" s="475" t="s">
        <v>189</v>
      </c>
      <c r="B74" s="474">
        <f t="shared" ref="B74:I74" si="19">SUM(B41,B59,B70,B73)</f>
        <v>0</v>
      </c>
      <c r="C74" s="474">
        <f t="shared" si="19"/>
        <v>1020.37</v>
      </c>
      <c r="D74" s="474">
        <f t="shared" si="19"/>
        <v>26860.819999999996</v>
      </c>
      <c r="E74" s="474">
        <f t="shared" si="19"/>
        <v>36184.9</v>
      </c>
      <c r="F74" s="474">
        <f t="shared" si="19"/>
        <v>21672.010000000002</v>
      </c>
      <c r="G74" s="474">
        <f t="shared" si="19"/>
        <v>19693.78</v>
      </c>
      <c r="H74" s="474">
        <f t="shared" si="19"/>
        <v>13500.389999999998</v>
      </c>
      <c r="I74" s="473">
        <f t="shared" si="19"/>
        <v>118932.27000000002</v>
      </c>
    </row>
    <row r="75" spans="1:9" ht="12.75">
      <c r="A75" s="472" t="s">
        <v>188</v>
      </c>
      <c r="B75" s="471">
        <f t="shared" ref="B75:I75" si="20">B21-B74</f>
        <v>0</v>
      </c>
      <c r="C75" s="471">
        <f t="shared" si="20"/>
        <v>-1020.37</v>
      </c>
      <c r="D75" s="471">
        <f t="shared" si="20"/>
        <v>-26705.819999999996</v>
      </c>
      <c r="E75" s="471">
        <f t="shared" si="20"/>
        <v>-25946.9</v>
      </c>
      <c r="F75" s="471">
        <f t="shared" si="20"/>
        <v>-18917.560000000001</v>
      </c>
      <c r="G75" s="471">
        <f t="shared" si="20"/>
        <v>10238.870000000003</v>
      </c>
      <c r="H75" s="471">
        <f t="shared" si="20"/>
        <v>7059.6100000000024</v>
      </c>
      <c r="I75" s="470">
        <f t="shared" si="20"/>
        <v>-55292.17000000002</v>
      </c>
    </row>
    <row r="76" spans="1:9">
      <c r="A76" s="484" t="s">
        <v>187</v>
      </c>
      <c r="B76" s="481"/>
      <c r="C76" s="481"/>
      <c r="D76" s="481"/>
      <c r="E76" s="481"/>
      <c r="F76" s="481"/>
      <c r="G76" s="481"/>
      <c r="H76" s="481"/>
      <c r="I76" s="480"/>
    </row>
    <row r="77" spans="1:9">
      <c r="A77" s="483" t="s">
        <v>186</v>
      </c>
      <c r="B77" s="481"/>
      <c r="C77" s="481"/>
      <c r="D77" s="481"/>
      <c r="E77" s="481"/>
      <c r="F77" s="481"/>
      <c r="G77" s="481"/>
      <c r="H77" s="481"/>
      <c r="I77" s="480"/>
    </row>
    <row r="78" spans="1:9">
      <c r="A78" s="482" t="s">
        <v>185</v>
      </c>
      <c r="B78" s="481"/>
      <c r="C78" s="481"/>
      <c r="D78" s="481"/>
      <c r="E78" s="481"/>
      <c r="F78" s="481"/>
      <c r="G78" s="481"/>
      <c r="H78" s="481"/>
      <c r="I78" s="480"/>
    </row>
    <row r="79" spans="1:9" ht="12.75">
      <c r="A79" s="479" t="s">
        <v>184</v>
      </c>
      <c r="B79" s="478">
        <v>0</v>
      </c>
      <c r="C79" s="478">
        <v>0</v>
      </c>
      <c r="D79" s="478">
        <v>0</v>
      </c>
      <c r="E79" s="478">
        <v>0</v>
      </c>
      <c r="F79" s="478">
        <v>0</v>
      </c>
      <c r="G79" s="478">
        <v>0</v>
      </c>
      <c r="H79" s="478">
        <v>6000</v>
      </c>
      <c r="I79" s="477">
        <f>SUM(B79:H79)</f>
        <v>6000</v>
      </c>
    </row>
    <row r="80" spans="1:9" ht="12.75">
      <c r="A80" s="476" t="s">
        <v>183</v>
      </c>
      <c r="B80" s="474">
        <f t="shared" ref="B80:I81" si="21">SUM(B79)</f>
        <v>0</v>
      </c>
      <c r="C80" s="474">
        <f t="shared" si="21"/>
        <v>0</v>
      </c>
      <c r="D80" s="474">
        <f t="shared" si="21"/>
        <v>0</v>
      </c>
      <c r="E80" s="474">
        <f t="shared" si="21"/>
        <v>0</v>
      </c>
      <c r="F80" s="474">
        <f t="shared" si="21"/>
        <v>0</v>
      </c>
      <c r="G80" s="474">
        <f t="shared" si="21"/>
        <v>0</v>
      </c>
      <c r="H80" s="474">
        <f t="shared" si="21"/>
        <v>6000</v>
      </c>
      <c r="I80" s="473">
        <f t="shared" si="21"/>
        <v>6000</v>
      </c>
    </row>
    <row r="81" spans="1:9" ht="12.75">
      <c r="A81" s="475" t="s">
        <v>182</v>
      </c>
      <c r="B81" s="474">
        <f t="shared" si="21"/>
        <v>0</v>
      </c>
      <c r="C81" s="474">
        <f t="shared" si="21"/>
        <v>0</v>
      </c>
      <c r="D81" s="474">
        <f t="shared" si="21"/>
        <v>0</v>
      </c>
      <c r="E81" s="474">
        <f t="shared" si="21"/>
        <v>0</v>
      </c>
      <c r="F81" s="474">
        <f t="shared" si="21"/>
        <v>0</v>
      </c>
      <c r="G81" s="474">
        <f t="shared" si="21"/>
        <v>0</v>
      </c>
      <c r="H81" s="474">
        <f t="shared" si="21"/>
        <v>6000</v>
      </c>
      <c r="I81" s="473">
        <f t="shared" si="21"/>
        <v>6000</v>
      </c>
    </row>
    <row r="82" spans="1:9">
      <c r="A82" s="483" t="s">
        <v>181</v>
      </c>
      <c r="B82" s="481"/>
      <c r="C82" s="481"/>
      <c r="D82" s="481"/>
      <c r="E82" s="481"/>
      <c r="F82" s="481"/>
      <c r="G82" s="481"/>
      <c r="H82" s="481"/>
      <c r="I82" s="480"/>
    </row>
    <row r="83" spans="1:9">
      <c r="A83" s="482" t="s">
        <v>180</v>
      </c>
      <c r="B83" s="481"/>
      <c r="C83" s="481"/>
      <c r="D83" s="481"/>
      <c r="E83" s="481"/>
      <c r="F83" s="481"/>
      <c r="G83" s="481"/>
      <c r="H83" s="481"/>
      <c r="I83" s="480"/>
    </row>
    <row r="84" spans="1:9" ht="12.75">
      <c r="A84" s="479" t="s">
        <v>179</v>
      </c>
      <c r="B84" s="478">
        <v>0</v>
      </c>
      <c r="C84" s="478">
        <v>0</v>
      </c>
      <c r="D84" s="478">
        <v>0</v>
      </c>
      <c r="E84" s="478">
        <v>0</v>
      </c>
      <c r="F84" s="478">
        <v>0</v>
      </c>
      <c r="G84" s="478">
        <v>0</v>
      </c>
      <c r="H84" s="478">
        <v>6000</v>
      </c>
      <c r="I84" s="477">
        <f>SUM(B84:H84)</f>
        <v>6000</v>
      </c>
    </row>
    <row r="85" spans="1:9" ht="12.75">
      <c r="A85" s="476" t="s">
        <v>178</v>
      </c>
      <c r="B85" s="474">
        <f t="shared" ref="B85:I86" si="22">SUM(B84)</f>
        <v>0</v>
      </c>
      <c r="C85" s="474">
        <f t="shared" si="22"/>
        <v>0</v>
      </c>
      <c r="D85" s="474">
        <f t="shared" si="22"/>
        <v>0</v>
      </c>
      <c r="E85" s="474">
        <f t="shared" si="22"/>
        <v>0</v>
      </c>
      <c r="F85" s="474">
        <f t="shared" si="22"/>
        <v>0</v>
      </c>
      <c r="G85" s="474">
        <f t="shared" si="22"/>
        <v>0</v>
      </c>
      <c r="H85" s="474">
        <f t="shared" si="22"/>
        <v>6000</v>
      </c>
      <c r="I85" s="473">
        <f t="shared" si="22"/>
        <v>6000</v>
      </c>
    </row>
    <row r="86" spans="1:9" ht="12.75">
      <c r="A86" s="475" t="s">
        <v>177</v>
      </c>
      <c r="B86" s="474">
        <f t="shared" si="22"/>
        <v>0</v>
      </c>
      <c r="C86" s="474">
        <f t="shared" si="22"/>
        <v>0</v>
      </c>
      <c r="D86" s="474">
        <f t="shared" si="22"/>
        <v>0</v>
      </c>
      <c r="E86" s="474">
        <f t="shared" si="22"/>
        <v>0</v>
      </c>
      <c r="F86" s="474">
        <f t="shared" si="22"/>
        <v>0</v>
      </c>
      <c r="G86" s="474">
        <f t="shared" si="22"/>
        <v>0</v>
      </c>
      <c r="H86" s="474">
        <f t="shared" si="22"/>
        <v>6000</v>
      </c>
      <c r="I86" s="473">
        <f t="shared" si="22"/>
        <v>6000</v>
      </c>
    </row>
    <row r="87" spans="1:9" ht="12.75">
      <c r="A87" s="472" t="s">
        <v>176</v>
      </c>
      <c r="B87" s="471">
        <f t="shared" ref="B87:I87" si="23">B81-B86</f>
        <v>0</v>
      </c>
      <c r="C87" s="471">
        <f t="shared" si="23"/>
        <v>0</v>
      </c>
      <c r="D87" s="471">
        <f t="shared" si="23"/>
        <v>0</v>
      </c>
      <c r="E87" s="471">
        <f t="shared" si="23"/>
        <v>0</v>
      </c>
      <c r="F87" s="471">
        <f t="shared" si="23"/>
        <v>0</v>
      </c>
      <c r="G87" s="471">
        <f t="shared" si="23"/>
        <v>0</v>
      </c>
      <c r="H87" s="471">
        <f t="shared" si="23"/>
        <v>0</v>
      </c>
      <c r="I87" s="470">
        <f t="shared" si="23"/>
        <v>0</v>
      </c>
    </row>
    <row r="88" spans="1:9" ht="12.75">
      <c r="A88" s="472" t="s">
        <v>175</v>
      </c>
      <c r="B88" s="471">
        <f t="shared" ref="B88:I88" si="24">B75+B87</f>
        <v>0</v>
      </c>
      <c r="C88" s="471">
        <f t="shared" si="24"/>
        <v>-1020.37</v>
      </c>
      <c r="D88" s="471">
        <f t="shared" si="24"/>
        <v>-26705.819999999996</v>
      </c>
      <c r="E88" s="471">
        <f t="shared" si="24"/>
        <v>-25946.9</v>
      </c>
      <c r="F88" s="471">
        <f t="shared" si="24"/>
        <v>-18917.560000000001</v>
      </c>
      <c r="G88" s="471">
        <f t="shared" si="24"/>
        <v>10238.870000000003</v>
      </c>
      <c r="H88" s="471">
        <f t="shared" si="24"/>
        <v>7059.6100000000024</v>
      </c>
      <c r="I88" s="470">
        <f t="shared" si="24"/>
        <v>-55292.17000000002</v>
      </c>
    </row>
  </sheetData>
  <mergeCells count="4">
    <mergeCell ref="A1:I1"/>
    <mergeCell ref="A2:I2"/>
    <mergeCell ref="A3:I3"/>
    <mergeCell ref="A4:I4"/>
  </mergeCells>
  <pageMargins left="0.75" right="0.75" top="1" bottom="1" header="0.5" footer="0.5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09721A19219744919BE73EDFEEFE12" ma:contentTypeVersion="694" ma:contentTypeDescription="Create a new document." ma:contentTypeScope="" ma:versionID="d4803b331e990487e0018d70392c8351">
  <xsd:schema xmlns:xsd="http://www.w3.org/2001/XMLSchema" xmlns:xs="http://www.w3.org/2001/XMLSchema" xmlns:p="http://schemas.microsoft.com/office/2006/metadata/properties" xmlns:ns2="de46b246-1b1d-49d3-981f-ae7f4a4dac6a" xmlns:ns3="72497645-c6bf-4d3f-a336-8c0f52f79c8e" targetNamespace="http://schemas.microsoft.com/office/2006/metadata/properties" ma:root="true" ma:fieldsID="f0091731d04d7e6e7a6b577b1d577a8e" ns2:_="" ns3:_="">
    <xsd:import namespace="de46b246-1b1d-49d3-981f-ae7f4a4dac6a"/>
    <xsd:import namespace="72497645-c6bf-4d3f-a336-8c0f52f79c8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6b246-1b1d-49d3-981f-ae7f4a4dac6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497645-c6bf-4d3f-a336-8c0f52f79c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46b246-1b1d-49d3-981f-ae7f4a4dac6a">P6KR3NQPVVUC-114887339-284239</_dlc_DocId>
    <_dlc_DocIdUrl xmlns="de46b246-1b1d-49d3-981f-ae7f4a4dac6a">
      <Url>https://unitedcamps.sharepoint.com/sites/UCCR_Office/_layouts/15/DocIdRedir.aspx?ID=P6KR3NQPVVUC-114887339-284239</Url>
      <Description>P6KR3NQPVVUC-114887339-284239</Description>
    </_dlc_DocIdUrl>
  </documentManagement>
</p:properties>
</file>

<file path=customXml/itemProps1.xml><?xml version="1.0" encoding="utf-8"?>
<ds:datastoreItem xmlns:ds="http://schemas.openxmlformats.org/officeDocument/2006/customXml" ds:itemID="{05BBB4FC-EDC0-4A52-8124-F73548A43B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46b246-1b1d-49d3-981f-ae7f4a4dac6a"/>
    <ds:schemaRef ds:uri="72497645-c6bf-4d3f-a336-8c0f52f79c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310BA7-6367-4C9D-987B-A88C47CB19D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DB477E1-3B98-4319-80CC-3F2D412DEC9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8D27453-5ADF-4738-ABC3-E4B0844BF968}">
  <ds:schemaRefs>
    <ds:schemaRef ds:uri="http://schemas.microsoft.com/office/2006/metadata/properties"/>
    <ds:schemaRef ds:uri="http://schemas.microsoft.com/office/infopath/2007/PartnerControls"/>
    <ds:schemaRef ds:uri="de46b246-1b1d-49d3-981f-ae7f4a4dac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TOC Projected R&amp;E Updated 05-22</vt:lpstr>
      <vt:lpstr>TOC Projected R&amp;E Updated 04-22</vt:lpstr>
      <vt:lpstr>TOC R&amp;E Projection FY 2022.1</vt:lpstr>
      <vt:lpstr>TOC R&amp;E Projection 2022</vt:lpstr>
      <vt:lpstr>TOC R&amp;E 2022 Budget</vt:lpstr>
      <vt:lpstr>TOC 2022 Rate</vt:lpstr>
      <vt:lpstr>TOC 2021 Budget - File</vt:lpstr>
      <vt:lpstr>2021 TOC Monthly R&amp;E @ 12-31</vt:lpstr>
      <vt:lpstr>2020 TOC Monthly R&amp;E - NS</vt:lpstr>
      <vt:lpstr>LOD 2018 Accounting R&amp;E - Prel </vt:lpstr>
      <vt:lpstr>LOD 2017 Accounting R&amp;E</vt:lpstr>
      <vt:lpstr>'LOD 2017 Accounting R&amp;E'!Print_Area</vt:lpstr>
      <vt:lpstr>'TOC 2021 Budget - File'!Print_Area</vt:lpstr>
      <vt:lpstr>'TOC 2022 Rate'!Print_Area</vt:lpstr>
      <vt:lpstr>'TOC Projected R&amp;E Updated 04-22'!Print_Area</vt:lpstr>
      <vt:lpstr>'TOC Projected R&amp;E Updated 05-22'!Print_Area</vt:lpstr>
      <vt:lpstr>'TOC R&amp;E 2022 Budget'!Print_Area</vt:lpstr>
      <vt:lpstr>'TOC R&amp;E Projection 2022'!Print_Area</vt:lpstr>
      <vt:lpstr>'TOC R&amp;E Projection FY 2022.1'!Print_Area</vt:lpstr>
      <vt:lpstr>'LOD 2017 Accounting R&amp;E'!Print_Area_MI</vt:lpstr>
    </vt:vector>
  </TitlesOfParts>
  <Company>UCCR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Shimizu</dc:creator>
  <cp:lastModifiedBy>James Vertreese</cp:lastModifiedBy>
  <cp:lastPrinted>2021-04-21T12:15:29Z</cp:lastPrinted>
  <dcterms:created xsi:type="dcterms:W3CDTF">2017-02-17T20:37:31Z</dcterms:created>
  <dcterms:modified xsi:type="dcterms:W3CDTF">2022-06-27T14:12:40Z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6458400</vt:r8>
  </property>
  <property fmtid="{D5CDD505-2E9C-101B-9397-08002B2CF9AE}" pid="3" name="ContentTypeId">
    <vt:lpwstr>0x0101000609721A19219744919BE73EDFEEFE12</vt:lpwstr>
  </property>
  <property fmtid="{D5CDD505-2E9C-101B-9397-08002B2CF9AE}" pid="4" name="_dlc_DocIdItemGuid">
    <vt:lpwstr>69b1c6e7-2b01-4df2-84c8-9f954304d842</vt:lpwstr>
  </property>
</Properties>
</file>