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rmoody\Desktop\Personal\JRLC Treasurer\FY22 Budget\"/>
    </mc:Choice>
  </mc:AlternateContent>
  <xr:revisionPtr revIDLastSave="0" documentId="8_{0B4A2DB0-2FD6-492C-95B9-30887B48CA8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Y21 w YOY comp" sheetId="1" r:id="rId1"/>
    <sheet name="For print-email" sheetId="2" r:id="rId2"/>
    <sheet name="Summary for Cong Mtg" sheetId="3" r:id="rId3"/>
    <sheet name="P&amp;L Annual Comparison" sheetId="4" state="hidden" r:id="rId4"/>
    <sheet name="Yvette notes" sheetId="5" state="hidden" r:id="rId5"/>
    <sheet name="Notes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0" roundtripDataSignature="AMtx7mgcDmSE/7uXjdGhCeYHyRs84/e0ww=="/>
    </ext>
  </extLst>
</workbook>
</file>

<file path=xl/calcChain.xml><?xml version="1.0" encoding="utf-8"?>
<calcChain xmlns="http://schemas.openxmlformats.org/spreadsheetml/2006/main">
  <c r="M55" i="1" l="1"/>
  <c r="G377" i="4"/>
  <c r="D377" i="4"/>
  <c r="C377" i="4"/>
  <c r="B377" i="4"/>
  <c r="D376" i="4"/>
  <c r="D375" i="4"/>
  <c r="D374" i="4"/>
  <c r="G373" i="4"/>
  <c r="F373" i="4"/>
  <c r="F377" i="4" s="1"/>
  <c r="E373" i="4"/>
  <c r="E377" i="4" s="1"/>
  <c r="D373" i="4"/>
  <c r="B369" i="4"/>
  <c r="G367" i="4"/>
  <c r="F367" i="4"/>
  <c r="G366" i="4"/>
  <c r="F366" i="4"/>
  <c r="F368" i="4" s="1"/>
  <c r="E366" i="4"/>
  <c r="D366" i="4"/>
  <c r="G365" i="4"/>
  <c r="F365" i="4"/>
  <c r="E365" i="4"/>
  <c r="E368" i="4" s="1"/>
  <c r="E370" i="4" s="1"/>
  <c r="D365" i="4"/>
  <c r="D368" i="4" s="1"/>
  <c r="D370" i="4" s="1"/>
  <c r="C365" i="4"/>
  <c r="C368" i="4" s="1"/>
  <c r="B365" i="4"/>
  <c r="B368" i="4" s="1"/>
  <c r="G364" i="4"/>
  <c r="F364" i="4"/>
  <c r="C364" i="4"/>
  <c r="B364" i="4"/>
  <c r="G363" i="4"/>
  <c r="F363" i="4"/>
  <c r="E363" i="4"/>
  <c r="B363" i="4"/>
  <c r="G362" i="4"/>
  <c r="F362" i="4"/>
  <c r="E362" i="4"/>
  <c r="D362" i="4"/>
  <c r="C362" i="4"/>
  <c r="B361" i="4"/>
  <c r="B370" i="4" s="1"/>
  <c r="E360" i="4"/>
  <c r="C360" i="4"/>
  <c r="B360" i="4"/>
  <c r="E357" i="4"/>
  <c r="D357" i="4"/>
  <c r="C357" i="4"/>
  <c r="B357" i="4"/>
  <c r="G356" i="4"/>
  <c r="G357" i="4" s="1"/>
  <c r="F356" i="4"/>
  <c r="G355" i="4"/>
  <c r="F355" i="4"/>
  <c r="G352" i="4"/>
  <c r="F352" i="4"/>
  <c r="F357" i="4" s="1"/>
  <c r="G349" i="4"/>
  <c r="E349" i="4"/>
  <c r="D349" i="4"/>
  <c r="C349" i="4"/>
  <c r="B349" i="4"/>
  <c r="D348" i="4"/>
  <c r="C348" i="4"/>
  <c r="C347" i="4"/>
  <c r="C345" i="4"/>
  <c r="C344" i="4"/>
  <c r="G343" i="4"/>
  <c r="F343" i="4"/>
  <c r="F349" i="4" s="1"/>
  <c r="D340" i="4"/>
  <c r="G339" i="4"/>
  <c r="F339" i="4"/>
  <c r="E339" i="4"/>
  <c r="D339" i="4"/>
  <c r="C339" i="4"/>
  <c r="G337" i="4"/>
  <c r="F337" i="4"/>
  <c r="E337" i="4"/>
  <c r="D337" i="4"/>
  <c r="C337" i="4"/>
  <c r="G336" i="4"/>
  <c r="G340" i="4" s="1"/>
  <c r="F336" i="4"/>
  <c r="E336" i="4"/>
  <c r="E340" i="4" s="1"/>
  <c r="D336" i="4"/>
  <c r="C336" i="4"/>
  <c r="B336" i="4"/>
  <c r="B340" i="4" s="1"/>
  <c r="B335" i="4"/>
  <c r="G331" i="4"/>
  <c r="F331" i="4"/>
  <c r="E331" i="4"/>
  <c r="D331" i="4"/>
  <c r="C331" i="4"/>
  <c r="B331" i="4"/>
  <c r="C330" i="4"/>
  <c r="E329" i="4"/>
  <c r="D329" i="4"/>
  <c r="C329" i="4"/>
  <c r="E328" i="4"/>
  <c r="D328" i="4"/>
  <c r="C328" i="4"/>
  <c r="B328" i="4"/>
  <c r="G327" i="4"/>
  <c r="F327" i="4"/>
  <c r="D327" i="4"/>
  <c r="C327" i="4"/>
  <c r="B327" i="4"/>
  <c r="F326" i="4"/>
  <c r="E326" i="4"/>
  <c r="D326" i="4"/>
  <c r="C326" i="4"/>
  <c r="B326" i="4"/>
  <c r="G325" i="4"/>
  <c r="F325" i="4"/>
  <c r="E325" i="4"/>
  <c r="D325" i="4"/>
  <c r="C325" i="4"/>
  <c r="B325" i="4"/>
  <c r="D324" i="4"/>
  <c r="B324" i="4"/>
  <c r="E323" i="4"/>
  <c r="D323" i="4"/>
  <c r="B323" i="4"/>
  <c r="G322" i="4"/>
  <c r="G330" i="4" s="1"/>
  <c r="F322" i="4"/>
  <c r="E322" i="4"/>
  <c r="E330" i="4" s="1"/>
  <c r="D322" i="4"/>
  <c r="D319" i="4"/>
  <c r="G318" i="4"/>
  <c r="F318" i="4"/>
  <c r="E318" i="4"/>
  <c r="G317" i="4"/>
  <c r="F317" i="4"/>
  <c r="E317" i="4"/>
  <c r="D317" i="4"/>
  <c r="C317" i="4"/>
  <c r="B317" i="4"/>
  <c r="G315" i="4"/>
  <c r="F315" i="4"/>
  <c r="F320" i="4" s="1"/>
  <c r="E315" i="4"/>
  <c r="E320" i="4" s="1"/>
  <c r="D315" i="4"/>
  <c r="C315" i="4"/>
  <c r="B315" i="4"/>
  <c r="B320" i="4" s="1"/>
  <c r="D314" i="4"/>
  <c r="D320" i="4" s="1"/>
  <c r="C314" i="4"/>
  <c r="D313" i="4"/>
  <c r="C313" i="4"/>
  <c r="C320" i="4" s="1"/>
  <c r="G311" i="4"/>
  <c r="B311" i="4"/>
  <c r="D309" i="4"/>
  <c r="G308" i="4"/>
  <c r="F308" i="4"/>
  <c r="F311" i="4" s="1"/>
  <c r="E308" i="4"/>
  <c r="E306" i="4"/>
  <c r="D306" i="4"/>
  <c r="D311" i="4" s="1"/>
  <c r="C306" i="4"/>
  <c r="G305" i="4"/>
  <c r="F305" i="4"/>
  <c r="C305" i="4"/>
  <c r="C311" i="4" s="1"/>
  <c r="E304" i="4"/>
  <c r="F301" i="4"/>
  <c r="D301" i="4"/>
  <c r="E300" i="4"/>
  <c r="D300" i="4"/>
  <c r="C300" i="4"/>
  <c r="G299" i="4"/>
  <c r="F299" i="4"/>
  <c r="E299" i="4"/>
  <c r="D299" i="4"/>
  <c r="C299" i="4"/>
  <c r="C298" i="4"/>
  <c r="G297" i="4"/>
  <c r="G301" i="4" s="1"/>
  <c r="F297" i="4"/>
  <c r="E297" i="4"/>
  <c r="D297" i="4"/>
  <c r="C297" i="4"/>
  <c r="C301" i="4" s="1"/>
  <c r="C333" i="4" s="1"/>
  <c r="B297" i="4"/>
  <c r="B296" i="4"/>
  <c r="B301" i="4" s="1"/>
  <c r="D295" i="4"/>
  <c r="C295" i="4"/>
  <c r="G293" i="4"/>
  <c r="F293" i="4"/>
  <c r="B293" i="4"/>
  <c r="C291" i="4"/>
  <c r="G290" i="4"/>
  <c r="F290" i="4"/>
  <c r="D290" i="4"/>
  <c r="D289" i="4"/>
  <c r="C289" i="4"/>
  <c r="B289" i="4"/>
  <c r="F288" i="4"/>
  <c r="E288" i="4"/>
  <c r="G287" i="4"/>
  <c r="G289" i="4" s="1"/>
  <c r="F287" i="4"/>
  <c r="F289" i="4" s="1"/>
  <c r="E287" i="4"/>
  <c r="E286" i="4"/>
  <c r="E289" i="4" s="1"/>
  <c r="E285" i="4"/>
  <c r="F284" i="4"/>
  <c r="E284" i="4"/>
  <c r="F283" i="4"/>
  <c r="E283" i="4"/>
  <c r="C283" i="4"/>
  <c r="F282" i="4"/>
  <c r="E282" i="4"/>
  <c r="D282" i="4"/>
  <c r="D291" i="4" s="1"/>
  <c r="B282" i="4"/>
  <c r="F280" i="4"/>
  <c r="E280" i="4"/>
  <c r="D280" i="4"/>
  <c r="C280" i="4"/>
  <c r="C282" i="4" s="1"/>
  <c r="B280" i="4"/>
  <c r="G279" i="4"/>
  <c r="G282" i="4" s="1"/>
  <c r="F279" i="4"/>
  <c r="G278" i="4"/>
  <c r="F278" i="4"/>
  <c r="D278" i="4"/>
  <c r="C278" i="4"/>
  <c r="G276" i="4"/>
  <c r="E276" i="4"/>
  <c r="C276" i="4"/>
  <c r="G275" i="4"/>
  <c r="F275" i="4"/>
  <c r="F274" i="4"/>
  <c r="E274" i="4"/>
  <c r="D274" i="4"/>
  <c r="D276" i="4" s="1"/>
  <c r="C274" i="4"/>
  <c r="B274" i="4"/>
  <c r="B276" i="4" s="1"/>
  <c r="G273" i="4"/>
  <c r="F273" i="4"/>
  <c r="E273" i="4"/>
  <c r="D273" i="4"/>
  <c r="C273" i="4"/>
  <c r="B273" i="4"/>
  <c r="B271" i="4"/>
  <c r="G269" i="4"/>
  <c r="D269" i="4"/>
  <c r="C269" i="4"/>
  <c r="G267" i="4"/>
  <c r="F267" i="4"/>
  <c r="D267" i="4"/>
  <c r="C267" i="4"/>
  <c r="B267" i="4"/>
  <c r="G266" i="4"/>
  <c r="F266" i="4"/>
  <c r="E266" i="4"/>
  <c r="E267" i="4" s="1"/>
  <c r="C264" i="4"/>
  <c r="G263" i="4"/>
  <c r="F263" i="4"/>
  <c r="G262" i="4"/>
  <c r="G264" i="4" s="1"/>
  <c r="F262" i="4"/>
  <c r="F264" i="4" s="1"/>
  <c r="F269" i="4" s="1"/>
  <c r="E262" i="4"/>
  <c r="F261" i="4"/>
  <c r="E261" i="4"/>
  <c r="E264" i="4" s="1"/>
  <c r="D261" i="4"/>
  <c r="D264" i="4" s="1"/>
  <c r="C261" i="4"/>
  <c r="B261" i="4"/>
  <c r="B264" i="4" s="1"/>
  <c r="C256" i="4"/>
  <c r="B256" i="4"/>
  <c r="E252" i="4"/>
  <c r="F251" i="4"/>
  <c r="E251" i="4"/>
  <c r="C250" i="4"/>
  <c r="G249" i="4"/>
  <c r="F249" i="4"/>
  <c r="E249" i="4"/>
  <c r="D249" i="4"/>
  <c r="C249" i="4"/>
  <c r="B249" i="4"/>
  <c r="F248" i="4"/>
  <c r="E248" i="4"/>
  <c r="D248" i="4"/>
  <c r="C248" i="4"/>
  <c r="B248" i="4"/>
  <c r="G247" i="4"/>
  <c r="G252" i="4" s="1"/>
  <c r="F247" i="4"/>
  <c r="E247" i="4"/>
  <c r="D247" i="4"/>
  <c r="D252" i="4" s="1"/>
  <c r="C247" i="4"/>
  <c r="B247" i="4"/>
  <c r="C246" i="4"/>
  <c r="C252" i="4" s="1"/>
  <c r="B246" i="4"/>
  <c r="B252" i="4" s="1"/>
  <c r="G243" i="4"/>
  <c r="F243" i="4"/>
  <c r="E243" i="4"/>
  <c r="B242" i="4"/>
  <c r="G241" i="4"/>
  <c r="F241" i="4"/>
  <c r="G240" i="4"/>
  <c r="F240" i="4"/>
  <c r="F242" i="4" s="1"/>
  <c r="G239" i="4"/>
  <c r="G242" i="4" s="1"/>
  <c r="F239" i="4"/>
  <c r="F238" i="4"/>
  <c r="E238" i="4"/>
  <c r="E242" i="4" s="1"/>
  <c r="D238" i="4"/>
  <c r="D242" i="4" s="1"/>
  <c r="C238" i="4"/>
  <c r="C242" i="4" s="1"/>
  <c r="B238" i="4"/>
  <c r="E237" i="4"/>
  <c r="D237" i="4"/>
  <c r="D244" i="4" s="1"/>
  <c r="C237" i="4"/>
  <c r="B237" i="4"/>
  <c r="G236" i="4"/>
  <c r="F236" i="4"/>
  <c r="F244" i="4" s="1"/>
  <c r="E236" i="4"/>
  <c r="D236" i="4"/>
  <c r="C236" i="4"/>
  <c r="B236" i="4"/>
  <c r="G235" i="4"/>
  <c r="F235" i="4"/>
  <c r="E234" i="4"/>
  <c r="E244" i="4" s="1"/>
  <c r="G231" i="4"/>
  <c r="F231" i="4"/>
  <c r="E231" i="4"/>
  <c r="D231" i="4"/>
  <c r="C231" i="4"/>
  <c r="B231" i="4"/>
  <c r="G230" i="4"/>
  <c r="D230" i="4"/>
  <c r="C230" i="4"/>
  <c r="F227" i="4"/>
  <c r="F230" i="4" s="1"/>
  <c r="E227" i="4"/>
  <c r="E230" i="4" s="1"/>
  <c r="B227" i="4"/>
  <c r="B230" i="4" s="1"/>
  <c r="G226" i="4"/>
  <c r="F226" i="4"/>
  <c r="E226" i="4"/>
  <c r="D226" i="4"/>
  <c r="C226" i="4"/>
  <c r="B226" i="4"/>
  <c r="G225" i="4"/>
  <c r="F225" i="4"/>
  <c r="E225" i="4"/>
  <c r="D225" i="4"/>
  <c r="C225" i="4"/>
  <c r="B225" i="4"/>
  <c r="D224" i="4"/>
  <c r="E223" i="4"/>
  <c r="E224" i="4" s="1"/>
  <c r="D223" i="4"/>
  <c r="C223" i="4"/>
  <c r="B223" i="4"/>
  <c r="G222" i="4"/>
  <c r="G224" i="4" s="1"/>
  <c r="F222" i="4"/>
  <c r="F224" i="4" s="1"/>
  <c r="E222" i="4"/>
  <c r="D222" i="4"/>
  <c r="C222" i="4"/>
  <c r="C224" i="4" s="1"/>
  <c r="B222" i="4"/>
  <c r="B224" i="4" s="1"/>
  <c r="G220" i="4"/>
  <c r="F220" i="4"/>
  <c r="E220" i="4"/>
  <c r="D220" i="4"/>
  <c r="C220" i="4"/>
  <c r="B220" i="4"/>
  <c r="G219" i="4"/>
  <c r="D219" i="4"/>
  <c r="G218" i="4"/>
  <c r="F218" i="4"/>
  <c r="E218" i="4"/>
  <c r="D218" i="4"/>
  <c r="C218" i="4"/>
  <c r="B218" i="4"/>
  <c r="G217" i="4"/>
  <c r="F217" i="4"/>
  <c r="E217" i="4"/>
  <c r="D217" i="4"/>
  <c r="C217" i="4"/>
  <c r="B217" i="4"/>
  <c r="G216" i="4"/>
  <c r="F216" i="4"/>
  <c r="E216" i="4"/>
  <c r="D216" i="4"/>
  <c r="C216" i="4"/>
  <c r="B216" i="4"/>
  <c r="G215" i="4"/>
  <c r="F215" i="4"/>
  <c r="F219" i="4" s="1"/>
  <c r="E215" i="4"/>
  <c r="E219" i="4" s="1"/>
  <c r="D215" i="4"/>
  <c r="C215" i="4"/>
  <c r="C219" i="4" s="1"/>
  <c r="B215" i="4"/>
  <c r="B219" i="4" s="1"/>
  <c r="G213" i="4"/>
  <c r="F213" i="4"/>
  <c r="E213" i="4"/>
  <c r="D213" i="4"/>
  <c r="C213" i="4"/>
  <c r="B213" i="4"/>
  <c r="G212" i="4"/>
  <c r="F212" i="4"/>
  <c r="E212" i="4"/>
  <c r="D212" i="4"/>
  <c r="B212" i="4"/>
  <c r="G211" i="4"/>
  <c r="E211" i="4"/>
  <c r="C211" i="4"/>
  <c r="G210" i="4"/>
  <c r="F210" i="4"/>
  <c r="G209" i="4"/>
  <c r="F209" i="4"/>
  <c r="E209" i="4"/>
  <c r="D209" i="4"/>
  <c r="C209" i="4"/>
  <c r="B209" i="4"/>
  <c r="G208" i="4"/>
  <c r="F208" i="4"/>
  <c r="F211" i="4" s="1"/>
  <c r="E208" i="4"/>
  <c r="D208" i="4"/>
  <c r="C208" i="4"/>
  <c r="B208" i="4"/>
  <c r="D207" i="4"/>
  <c r="D211" i="4" s="1"/>
  <c r="B207" i="4"/>
  <c r="B211" i="4" s="1"/>
  <c r="G206" i="4"/>
  <c r="F206" i="4"/>
  <c r="E206" i="4"/>
  <c r="D206" i="4"/>
  <c r="C206" i="4"/>
  <c r="B206" i="4"/>
  <c r="G205" i="4"/>
  <c r="F205" i="4"/>
  <c r="E205" i="4"/>
  <c r="D205" i="4"/>
  <c r="C205" i="4"/>
  <c r="B205" i="4"/>
  <c r="G204" i="4"/>
  <c r="F204" i="4"/>
  <c r="E204" i="4"/>
  <c r="D204" i="4"/>
  <c r="B204" i="4"/>
  <c r="C202" i="4"/>
  <c r="C204" i="4" s="1"/>
  <c r="F196" i="4"/>
  <c r="D195" i="4"/>
  <c r="D196" i="4" s="1"/>
  <c r="G194" i="4"/>
  <c r="G196" i="4" s="1"/>
  <c r="G232" i="4" s="1"/>
  <c r="F194" i="4"/>
  <c r="E194" i="4"/>
  <c r="E196" i="4" s="1"/>
  <c r="D194" i="4"/>
  <c r="C194" i="4"/>
  <c r="C196" i="4" s="1"/>
  <c r="B194" i="4"/>
  <c r="B196" i="4" s="1"/>
  <c r="F193" i="4"/>
  <c r="E193" i="4"/>
  <c r="D193" i="4"/>
  <c r="F192" i="4"/>
  <c r="E192" i="4"/>
  <c r="E232" i="4" s="1"/>
  <c r="G189" i="4"/>
  <c r="F189" i="4"/>
  <c r="E189" i="4"/>
  <c r="D189" i="4"/>
  <c r="C189" i="4"/>
  <c r="B189" i="4"/>
  <c r="E188" i="4"/>
  <c r="D188" i="4"/>
  <c r="C188" i="4"/>
  <c r="B188" i="4"/>
  <c r="G185" i="4"/>
  <c r="F185" i="4"/>
  <c r="E185" i="4"/>
  <c r="D185" i="4"/>
  <c r="C185" i="4"/>
  <c r="B185" i="4"/>
  <c r="D184" i="4"/>
  <c r="C184" i="4"/>
  <c r="B184" i="4"/>
  <c r="C183" i="4"/>
  <c r="G182" i="4"/>
  <c r="F182" i="4"/>
  <c r="E182" i="4"/>
  <c r="D182" i="4"/>
  <c r="G181" i="4"/>
  <c r="F181" i="4"/>
  <c r="G180" i="4"/>
  <c r="F180" i="4"/>
  <c r="E180" i="4"/>
  <c r="D180" i="4"/>
  <c r="C180" i="4"/>
  <c r="B180" i="4"/>
  <c r="G179" i="4"/>
  <c r="F179" i="4"/>
  <c r="G178" i="4"/>
  <c r="G183" i="4" s="1"/>
  <c r="F178" i="4"/>
  <c r="G177" i="4"/>
  <c r="F177" i="4"/>
  <c r="G176" i="4"/>
  <c r="F176" i="4"/>
  <c r="F175" i="4"/>
  <c r="F183" i="4" s="1"/>
  <c r="E175" i="4"/>
  <c r="E183" i="4" s="1"/>
  <c r="D175" i="4"/>
  <c r="D183" i="4" s="1"/>
  <c r="C175" i="4"/>
  <c r="B175" i="4"/>
  <c r="B183" i="4" s="1"/>
  <c r="G174" i="4"/>
  <c r="F174" i="4"/>
  <c r="E174" i="4"/>
  <c r="D174" i="4"/>
  <c r="C174" i="4"/>
  <c r="B174" i="4"/>
  <c r="F173" i="4"/>
  <c r="E173" i="4"/>
  <c r="B173" i="4"/>
  <c r="G171" i="4"/>
  <c r="G173" i="4" s="1"/>
  <c r="F171" i="4"/>
  <c r="E171" i="4"/>
  <c r="D171" i="4"/>
  <c r="D173" i="4" s="1"/>
  <c r="C170" i="4"/>
  <c r="C173" i="4" s="1"/>
  <c r="G169" i="4"/>
  <c r="D169" i="4"/>
  <c r="G168" i="4"/>
  <c r="F168" i="4"/>
  <c r="E168" i="4"/>
  <c r="D168" i="4"/>
  <c r="C168" i="4"/>
  <c r="B168" i="4"/>
  <c r="G167" i="4"/>
  <c r="F167" i="4"/>
  <c r="F169" i="4" s="1"/>
  <c r="E167" i="4"/>
  <c r="D167" i="4"/>
  <c r="C167" i="4"/>
  <c r="C169" i="4" s="1"/>
  <c r="B167" i="4"/>
  <c r="B166" i="4"/>
  <c r="B169" i="4" s="1"/>
  <c r="G165" i="4"/>
  <c r="F165" i="4"/>
  <c r="C165" i="4"/>
  <c r="B165" i="4"/>
  <c r="G163" i="4"/>
  <c r="F163" i="4"/>
  <c r="E163" i="4"/>
  <c r="E165" i="4" s="1"/>
  <c r="D163" i="4"/>
  <c r="D165" i="4" s="1"/>
  <c r="C163" i="4"/>
  <c r="B163" i="4"/>
  <c r="G160" i="4"/>
  <c r="F160" i="4"/>
  <c r="E160" i="4"/>
  <c r="D160" i="4"/>
  <c r="C160" i="4"/>
  <c r="B160" i="4"/>
  <c r="G158" i="4"/>
  <c r="G159" i="4" s="1"/>
  <c r="F158" i="4"/>
  <c r="F159" i="4" s="1"/>
  <c r="E158" i="4"/>
  <c r="E159" i="4" s="1"/>
  <c r="D158" i="4"/>
  <c r="D159" i="4" s="1"/>
  <c r="C158" i="4"/>
  <c r="C159" i="4" s="1"/>
  <c r="B158" i="4"/>
  <c r="G157" i="4"/>
  <c r="F157" i="4"/>
  <c r="B154" i="4"/>
  <c r="G153" i="4"/>
  <c r="F153" i="4"/>
  <c r="E153" i="4"/>
  <c r="D153" i="4"/>
  <c r="C153" i="4"/>
  <c r="B153" i="4"/>
  <c r="G152" i="4"/>
  <c r="F152" i="4"/>
  <c r="E152" i="4"/>
  <c r="D152" i="4"/>
  <c r="C152" i="4"/>
  <c r="B152" i="4"/>
  <c r="G151" i="4"/>
  <c r="F151" i="4"/>
  <c r="E151" i="4"/>
  <c r="D151" i="4"/>
  <c r="C151" i="4"/>
  <c r="B151" i="4"/>
  <c r="G150" i="4"/>
  <c r="F150" i="4"/>
  <c r="E150" i="4"/>
  <c r="D150" i="4"/>
  <c r="C150" i="4"/>
  <c r="B150" i="4"/>
  <c r="F149" i="4"/>
  <c r="F190" i="4" s="1"/>
  <c r="E149" i="4"/>
  <c r="B149" i="4"/>
  <c r="F147" i="4"/>
  <c r="D146" i="4"/>
  <c r="C146" i="4"/>
  <c r="G145" i="4"/>
  <c r="G147" i="4" s="1"/>
  <c r="F145" i="4"/>
  <c r="E145" i="4"/>
  <c r="E147" i="4" s="1"/>
  <c r="D145" i="4"/>
  <c r="D147" i="4" s="1"/>
  <c r="C145" i="4"/>
  <c r="C147" i="4" s="1"/>
  <c r="B145" i="4"/>
  <c r="B147" i="4" s="1"/>
  <c r="G142" i="4"/>
  <c r="G141" i="4"/>
  <c r="D141" i="4"/>
  <c r="C141" i="4"/>
  <c r="C142" i="4" s="1"/>
  <c r="B141" i="4"/>
  <c r="B142" i="4" s="1"/>
  <c r="F140" i="4"/>
  <c r="E140" i="4"/>
  <c r="E141" i="4" s="1"/>
  <c r="E142" i="4" s="1"/>
  <c r="F139" i="4"/>
  <c r="E139" i="4"/>
  <c r="F138" i="4"/>
  <c r="F141" i="4" s="1"/>
  <c r="E138" i="4"/>
  <c r="G137" i="4"/>
  <c r="F137" i="4"/>
  <c r="F142" i="4" s="1"/>
  <c r="E137" i="4"/>
  <c r="D137" i="4"/>
  <c r="D142" i="4" s="1"/>
  <c r="G136" i="4"/>
  <c r="F136" i="4"/>
  <c r="G135" i="4"/>
  <c r="F135" i="4"/>
  <c r="E135" i="4"/>
  <c r="G134" i="4"/>
  <c r="F134" i="4"/>
  <c r="E134" i="4"/>
  <c r="D134" i="4"/>
  <c r="C134" i="4"/>
  <c r="B134" i="4"/>
  <c r="G133" i="4"/>
  <c r="F133" i="4"/>
  <c r="E133" i="4"/>
  <c r="D133" i="4"/>
  <c r="C133" i="4"/>
  <c r="B133" i="4"/>
  <c r="G132" i="4"/>
  <c r="F132" i="4"/>
  <c r="E132" i="4"/>
  <c r="D132" i="4"/>
  <c r="C132" i="4"/>
  <c r="B132" i="4"/>
  <c r="G128" i="4"/>
  <c r="D128" i="4"/>
  <c r="B128" i="4"/>
  <c r="E127" i="4"/>
  <c r="D127" i="4"/>
  <c r="C127" i="4"/>
  <c r="B127" i="4"/>
  <c r="G126" i="4"/>
  <c r="F126" i="4"/>
  <c r="F128" i="4" s="1"/>
  <c r="E126" i="4"/>
  <c r="E128" i="4" s="1"/>
  <c r="D126" i="4"/>
  <c r="C126" i="4"/>
  <c r="B126" i="4"/>
  <c r="G125" i="4"/>
  <c r="E125" i="4"/>
  <c r="D125" i="4"/>
  <c r="C125" i="4"/>
  <c r="B125" i="4"/>
  <c r="F120" i="4"/>
  <c r="F125" i="4" s="1"/>
  <c r="E120" i="4"/>
  <c r="D120" i="4"/>
  <c r="B120" i="4"/>
  <c r="C119" i="4"/>
  <c r="G113" i="4"/>
  <c r="F113" i="4"/>
  <c r="E113" i="4"/>
  <c r="G112" i="4"/>
  <c r="F112" i="4"/>
  <c r="E112" i="4"/>
  <c r="G111" i="4"/>
  <c r="F111" i="4"/>
  <c r="E111" i="4"/>
  <c r="D111" i="4"/>
  <c r="C111" i="4"/>
  <c r="B111" i="4"/>
  <c r="G110" i="4"/>
  <c r="F110" i="4"/>
  <c r="F114" i="4" s="1"/>
  <c r="E110" i="4"/>
  <c r="D110" i="4"/>
  <c r="C110" i="4"/>
  <c r="B110" i="4"/>
  <c r="G109" i="4"/>
  <c r="F109" i="4"/>
  <c r="E109" i="4"/>
  <c r="D109" i="4"/>
  <c r="C109" i="4"/>
  <c r="B109" i="4"/>
  <c r="G108" i="4"/>
  <c r="F108" i="4"/>
  <c r="E108" i="4"/>
  <c r="D108" i="4"/>
  <c r="C108" i="4"/>
  <c r="B108" i="4"/>
  <c r="G107" i="4"/>
  <c r="F107" i="4"/>
  <c r="E107" i="4"/>
  <c r="D107" i="4"/>
  <c r="C107" i="4"/>
  <c r="B107" i="4"/>
  <c r="F106" i="4"/>
  <c r="D106" i="4"/>
  <c r="E105" i="4"/>
  <c r="D105" i="4"/>
  <c r="C105" i="4"/>
  <c r="B105" i="4"/>
  <c r="G104" i="4"/>
  <c r="G106" i="4" s="1"/>
  <c r="F104" i="4"/>
  <c r="E104" i="4"/>
  <c r="E106" i="4" s="1"/>
  <c r="D104" i="4"/>
  <c r="C104" i="4"/>
  <c r="C106" i="4" s="1"/>
  <c r="B104" i="4"/>
  <c r="B106" i="4" s="1"/>
  <c r="G102" i="4"/>
  <c r="F102" i="4"/>
  <c r="F103" i="4" s="1"/>
  <c r="E102" i="4"/>
  <c r="D102" i="4"/>
  <c r="C102" i="4"/>
  <c r="B102" i="4"/>
  <c r="G101" i="4"/>
  <c r="F101" i="4"/>
  <c r="E101" i="4"/>
  <c r="E103" i="4" s="1"/>
  <c r="E114" i="4" s="1"/>
  <c r="D101" i="4"/>
  <c r="C101" i="4"/>
  <c r="C103" i="4" s="1"/>
  <c r="B101" i="4"/>
  <c r="B103" i="4" s="1"/>
  <c r="D100" i="4"/>
  <c r="G97" i="4"/>
  <c r="F97" i="4"/>
  <c r="E97" i="4"/>
  <c r="G95" i="4"/>
  <c r="F95" i="4"/>
  <c r="E95" i="4"/>
  <c r="D95" i="4"/>
  <c r="C95" i="4"/>
  <c r="B95" i="4"/>
  <c r="G94" i="4"/>
  <c r="F94" i="4"/>
  <c r="E94" i="4"/>
  <c r="D94" i="4"/>
  <c r="C94" i="4"/>
  <c r="C98" i="4" s="1"/>
  <c r="B94" i="4"/>
  <c r="G93" i="4"/>
  <c r="F93" i="4"/>
  <c r="E93" i="4"/>
  <c r="D93" i="4"/>
  <c r="C93" i="4"/>
  <c r="B93" i="4"/>
  <c r="G92" i="4"/>
  <c r="F92" i="4"/>
  <c r="E92" i="4"/>
  <c r="D92" i="4"/>
  <c r="D98" i="4" s="1"/>
  <c r="C92" i="4"/>
  <c r="B92" i="4"/>
  <c r="E90" i="4"/>
  <c r="G89" i="4"/>
  <c r="F89" i="4"/>
  <c r="E89" i="4"/>
  <c r="D89" i="4"/>
  <c r="C89" i="4"/>
  <c r="B89" i="4"/>
  <c r="G88" i="4"/>
  <c r="F88" i="4"/>
  <c r="E88" i="4"/>
  <c r="D88" i="4"/>
  <c r="C88" i="4"/>
  <c r="B88" i="4"/>
  <c r="G87" i="4"/>
  <c r="F87" i="4"/>
  <c r="E87" i="4"/>
  <c r="D87" i="4"/>
  <c r="C87" i="4"/>
  <c r="B87" i="4"/>
  <c r="G86" i="4"/>
  <c r="F86" i="4"/>
  <c r="E86" i="4"/>
  <c r="D86" i="4"/>
  <c r="C86" i="4"/>
  <c r="B86" i="4"/>
  <c r="G84" i="4"/>
  <c r="F84" i="4"/>
  <c r="E84" i="4"/>
  <c r="D84" i="4"/>
  <c r="C84" i="4"/>
  <c r="B84" i="4"/>
  <c r="G83" i="4"/>
  <c r="F83" i="4"/>
  <c r="E83" i="4"/>
  <c r="D83" i="4"/>
  <c r="C83" i="4"/>
  <c r="B83" i="4"/>
  <c r="G82" i="4"/>
  <c r="F82" i="4"/>
  <c r="E82" i="4"/>
  <c r="D82" i="4"/>
  <c r="C82" i="4"/>
  <c r="B82" i="4"/>
  <c r="G81" i="4"/>
  <c r="G85" i="4" s="1"/>
  <c r="F81" i="4"/>
  <c r="F85" i="4" s="1"/>
  <c r="E81" i="4"/>
  <c r="E85" i="4" s="1"/>
  <c r="D81" i="4"/>
  <c r="C81" i="4"/>
  <c r="C85" i="4" s="1"/>
  <c r="B81" i="4"/>
  <c r="B85" i="4" s="1"/>
  <c r="G80" i="4"/>
  <c r="F80" i="4"/>
  <c r="E80" i="4"/>
  <c r="D80" i="4"/>
  <c r="C80" i="4"/>
  <c r="B80" i="4"/>
  <c r="G79" i="4"/>
  <c r="F79" i="4"/>
  <c r="E79" i="4"/>
  <c r="D79" i="4"/>
  <c r="C79" i="4"/>
  <c r="B79" i="4"/>
  <c r="E77" i="4"/>
  <c r="D77" i="4"/>
  <c r="C77" i="4"/>
  <c r="B77" i="4"/>
  <c r="D71" i="4"/>
  <c r="B70" i="4"/>
  <c r="G69" i="4"/>
  <c r="D69" i="4"/>
  <c r="C69" i="4"/>
  <c r="G68" i="4"/>
  <c r="F68" i="4"/>
  <c r="E68" i="4"/>
  <c r="E69" i="4" s="1"/>
  <c r="E71" i="4" s="1"/>
  <c r="D68" i="4"/>
  <c r="G67" i="4"/>
  <c r="F67" i="4"/>
  <c r="F69" i="4" s="1"/>
  <c r="B67" i="4"/>
  <c r="B69" i="4" s="1"/>
  <c r="G66" i="4"/>
  <c r="F66" i="4"/>
  <c r="C66" i="4"/>
  <c r="B66" i="4"/>
  <c r="E65" i="4"/>
  <c r="B65" i="4"/>
  <c r="G64" i="4"/>
  <c r="G71" i="4" s="1"/>
  <c r="F64" i="4"/>
  <c r="E64" i="4"/>
  <c r="D64" i="4"/>
  <c r="C64" i="4"/>
  <c r="B64" i="4"/>
  <c r="B63" i="4"/>
  <c r="E62" i="4"/>
  <c r="C62" i="4"/>
  <c r="C71" i="4" s="1"/>
  <c r="B62" i="4"/>
  <c r="B71" i="4" s="1"/>
  <c r="B59" i="4"/>
  <c r="D58" i="4"/>
  <c r="D60" i="4" s="1"/>
  <c r="C58" i="4"/>
  <c r="B58" i="4"/>
  <c r="G57" i="4"/>
  <c r="F57" i="4"/>
  <c r="F60" i="4" s="1"/>
  <c r="E57" i="4"/>
  <c r="D57" i="4"/>
  <c r="C57" i="4"/>
  <c r="B57" i="4"/>
  <c r="C56" i="4"/>
  <c r="B56" i="4"/>
  <c r="D55" i="4"/>
  <c r="C55" i="4"/>
  <c r="B55" i="4"/>
  <c r="G53" i="4"/>
  <c r="G60" i="4" s="1"/>
  <c r="F53" i="4"/>
  <c r="E53" i="4"/>
  <c r="E60" i="4" s="1"/>
  <c r="D53" i="4"/>
  <c r="C53" i="4"/>
  <c r="C60" i="4" s="1"/>
  <c r="B53" i="4"/>
  <c r="G51" i="4"/>
  <c r="F51" i="4"/>
  <c r="E51" i="4"/>
  <c r="D51" i="4"/>
  <c r="C51" i="4"/>
  <c r="B51" i="4"/>
  <c r="G49" i="4"/>
  <c r="F49" i="4"/>
  <c r="E49" i="4"/>
  <c r="D49" i="4"/>
  <c r="C49" i="4"/>
  <c r="B49" i="4"/>
  <c r="G48" i="4"/>
  <c r="F48" i="4"/>
  <c r="E48" i="4"/>
  <c r="D48" i="4"/>
  <c r="C48" i="4"/>
  <c r="B48" i="4"/>
  <c r="D47" i="4"/>
  <c r="C47" i="4"/>
  <c r="F46" i="4"/>
  <c r="G45" i="4"/>
  <c r="F45" i="4"/>
  <c r="E45" i="4"/>
  <c r="D45" i="4"/>
  <c r="G44" i="4"/>
  <c r="F44" i="4"/>
  <c r="D43" i="4"/>
  <c r="G42" i="4"/>
  <c r="F42" i="4"/>
  <c r="E42" i="4"/>
  <c r="D42" i="4"/>
  <c r="F41" i="4"/>
  <c r="E41" i="4"/>
  <c r="D41" i="4"/>
  <c r="G40" i="4"/>
  <c r="F40" i="4"/>
  <c r="D40" i="4"/>
  <c r="D39" i="4"/>
  <c r="G38" i="4"/>
  <c r="G46" i="4" s="1"/>
  <c r="G50" i="4" s="1"/>
  <c r="F38" i="4"/>
  <c r="E38" i="4"/>
  <c r="E46" i="4" s="1"/>
  <c r="E50" i="4" s="1"/>
  <c r="D38" i="4"/>
  <c r="D46" i="4" s="1"/>
  <c r="C37" i="4"/>
  <c r="C46" i="4" s="1"/>
  <c r="B37" i="4"/>
  <c r="B46" i="4" s="1"/>
  <c r="C36" i="4"/>
  <c r="B36" i="4"/>
  <c r="G35" i="4"/>
  <c r="F35" i="4"/>
  <c r="E35" i="4"/>
  <c r="D35" i="4"/>
  <c r="C35" i="4"/>
  <c r="B35" i="4"/>
  <c r="D34" i="4"/>
  <c r="C34" i="4"/>
  <c r="D33" i="4"/>
  <c r="C33" i="4"/>
  <c r="E32" i="4"/>
  <c r="D32" i="4"/>
  <c r="C32" i="4"/>
  <c r="B32" i="4"/>
  <c r="D31" i="4"/>
  <c r="B31" i="4"/>
  <c r="G30" i="4"/>
  <c r="F30" i="4"/>
  <c r="E30" i="4"/>
  <c r="D30" i="4"/>
  <c r="C30" i="4"/>
  <c r="B30" i="4"/>
  <c r="F29" i="4"/>
  <c r="E29" i="4"/>
  <c r="D29" i="4"/>
  <c r="C29" i="4"/>
  <c r="B29" i="4"/>
  <c r="B50" i="4" s="1"/>
  <c r="D26" i="4"/>
  <c r="C26" i="4"/>
  <c r="B26" i="4"/>
  <c r="G25" i="4"/>
  <c r="F25" i="4"/>
  <c r="B24" i="4"/>
  <c r="G23" i="4"/>
  <c r="F23" i="4"/>
  <c r="E23" i="4"/>
  <c r="D23" i="4"/>
  <c r="C23" i="4"/>
  <c r="B23" i="4"/>
  <c r="G22" i="4"/>
  <c r="F22" i="4"/>
  <c r="E22" i="4"/>
  <c r="D22" i="4"/>
  <c r="C22" i="4"/>
  <c r="B22" i="4"/>
  <c r="G21" i="4"/>
  <c r="F21" i="4"/>
  <c r="F27" i="4" s="1"/>
  <c r="E21" i="4"/>
  <c r="D21" i="4"/>
  <c r="D27" i="4" s="1"/>
  <c r="C21" i="4"/>
  <c r="B21" i="4"/>
  <c r="F20" i="4"/>
  <c r="E20" i="4"/>
  <c r="D20" i="4"/>
  <c r="C20" i="4"/>
  <c r="B20" i="4"/>
  <c r="F17" i="4"/>
  <c r="E17" i="4"/>
  <c r="D17" i="4"/>
  <c r="B17" i="4"/>
  <c r="G16" i="4"/>
  <c r="F16" i="4"/>
  <c r="E16" i="4"/>
  <c r="C16" i="4"/>
  <c r="F15" i="4"/>
  <c r="E15" i="4"/>
  <c r="D15" i="4"/>
  <c r="C15" i="4"/>
  <c r="B15" i="4"/>
  <c r="G14" i="4"/>
  <c r="F14" i="4"/>
  <c r="G13" i="4"/>
  <c r="F13" i="4"/>
  <c r="E13" i="4"/>
  <c r="D13" i="4"/>
  <c r="C13" i="4"/>
  <c r="B13" i="4"/>
  <c r="G12" i="4"/>
  <c r="F12" i="4"/>
  <c r="E12" i="4"/>
  <c r="D12" i="4"/>
  <c r="C12" i="4"/>
  <c r="B12" i="4"/>
  <c r="G11" i="4"/>
  <c r="F11" i="4"/>
  <c r="E11" i="4"/>
  <c r="D11" i="4"/>
  <c r="C11" i="4"/>
  <c r="B11" i="4"/>
  <c r="F10" i="4"/>
  <c r="E10" i="4"/>
  <c r="D10" i="4"/>
  <c r="C10" i="4"/>
  <c r="B10" i="4"/>
  <c r="G9" i="4"/>
  <c r="C9" i="4"/>
  <c r="B9" i="4"/>
  <c r="G8" i="4"/>
  <c r="F8" i="4"/>
  <c r="G7" i="4"/>
  <c r="F7" i="4"/>
  <c r="G6" i="4"/>
  <c r="F6" i="4"/>
  <c r="F9" i="4" s="1"/>
  <c r="E6" i="4"/>
  <c r="E5" i="4"/>
  <c r="E9" i="4" s="1"/>
  <c r="D5" i="4"/>
  <c r="D9" i="4" s="1"/>
  <c r="M323" i="3"/>
  <c r="L323" i="3"/>
  <c r="K323" i="3"/>
  <c r="A323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A322" i="3"/>
  <c r="M321" i="3"/>
  <c r="L321" i="3"/>
  <c r="K321" i="3"/>
  <c r="A321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A320" i="3"/>
  <c r="M319" i="3"/>
  <c r="L319" i="3"/>
  <c r="K319" i="3"/>
  <c r="A319" i="3"/>
  <c r="M318" i="3"/>
  <c r="L318" i="3"/>
  <c r="K318" i="3"/>
  <c r="H318" i="3"/>
  <c r="E318" i="3"/>
  <c r="D318" i="3"/>
  <c r="C318" i="3"/>
  <c r="B318" i="3"/>
  <c r="A318" i="3"/>
  <c r="M317" i="3"/>
  <c r="L317" i="3"/>
  <c r="K317" i="3"/>
  <c r="E317" i="3"/>
  <c r="D317" i="3"/>
  <c r="C317" i="3"/>
  <c r="B317" i="3"/>
  <c r="A317" i="3"/>
  <c r="M316" i="3"/>
  <c r="L316" i="3"/>
  <c r="K316" i="3"/>
  <c r="J316" i="3"/>
  <c r="I316" i="3"/>
  <c r="G316" i="3"/>
  <c r="F316" i="3"/>
  <c r="E316" i="3"/>
  <c r="D316" i="3"/>
  <c r="C316" i="3"/>
  <c r="B316" i="3"/>
  <c r="A316" i="3"/>
  <c r="M315" i="3"/>
  <c r="L315" i="3"/>
  <c r="K315" i="3"/>
  <c r="J315" i="3"/>
  <c r="I315" i="3"/>
  <c r="G315" i="3"/>
  <c r="F315" i="3"/>
  <c r="E315" i="3"/>
  <c r="D315" i="3"/>
  <c r="C315" i="3"/>
  <c r="B315" i="3"/>
  <c r="A315" i="3"/>
  <c r="M314" i="3"/>
  <c r="L314" i="3"/>
  <c r="K314" i="3"/>
  <c r="E314" i="3"/>
  <c r="D314" i="3"/>
  <c r="C314" i="3"/>
  <c r="B314" i="3"/>
  <c r="A314" i="3"/>
  <c r="M313" i="3"/>
  <c r="L313" i="3"/>
  <c r="K313" i="3"/>
  <c r="J313" i="3"/>
  <c r="I313" i="3"/>
  <c r="G313" i="3"/>
  <c r="F313" i="3"/>
  <c r="E313" i="3"/>
  <c r="D313" i="3"/>
  <c r="C313" i="3"/>
  <c r="B313" i="3"/>
  <c r="A313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A312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A311" i="3"/>
  <c r="M310" i="3"/>
  <c r="L310" i="3"/>
  <c r="K310" i="3"/>
  <c r="A310" i="3"/>
  <c r="M309" i="3"/>
  <c r="L309" i="3"/>
  <c r="K309" i="3"/>
  <c r="J309" i="3"/>
  <c r="I309" i="3"/>
  <c r="G309" i="3"/>
  <c r="F309" i="3"/>
  <c r="E309" i="3"/>
  <c r="D309" i="3"/>
  <c r="C309" i="3"/>
  <c r="B309" i="3"/>
  <c r="A309" i="3"/>
  <c r="M308" i="3"/>
  <c r="L308" i="3"/>
  <c r="K308" i="3"/>
  <c r="J308" i="3"/>
  <c r="H308" i="3"/>
  <c r="F308" i="3"/>
  <c r="E308" i="3"/>
  <c r="B308" i="3"/>
  <c r="A308" i="3"/>
  <c r="M307" i="3"/>
  <c r="L307" i="3"/>
  <c r="K307" i="3"/>
  <c r="J307" i="3"/>
  <c r="F307" i="3"/>
  <c r="E307" i="3"/>
  <c r="D307" i="3"/>
  <c r="B307" i="3"/>
  <c r="A307" i="3"/>
  <c r="M306" i="3"/>
  <c r="L306" i="3"/>
  <c r="K306" i="3"/>
  <c r="J306" i="3"/>
  <c r="I306" i="3"/>
  <c r="H306" i="3"/>
  <c r="G306" i="3"/>
  <c r="F306" i="3"/>
  <c r="E306" i="3"/>
  <c r="D306" i="3"/>
  <c r="B306" i="3"/>
  <c r="A306" i="3"/>
  <c r="M305" i="3"/>
  <c r="L305" i="3"/>
  <c r="K305" i="3"/>
  <c r="J305" i="3"/>
  <c r="I305" i="3"/>
  <c r="H305" i="3"/>
  <c r="G305" i="3"/>
  <c r="F305" i="3"/>
  <c r="E305" i="3"/>
  <c r="D305" i="3"/>
  <c r="B305" i="3"/>
  <c r="A305" i="3"/>
  <c r="M304" i="3"/>
  <c r="L304" i="3"/>
  <c r="K304" i="3"/>
  <c r="J304" i="3"/>
  <c r="E304" i="3"/>
  <c r="D304" i="3"/>
  <c r="C304" i="3"/>
  <c r="B304" i="3"/>
  <c r="A304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A303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A302" i="3"/>
  <c r="M301" i="3"/>
  <c r="L301" i="3"/>
  <c r="K301" i="3"/>
  <c r="A301" i="3"/>
  <c r="M300" i="3"/>
  <c r="L300" i="3"/>
  <c r="K300" i="3"/>
  <c r="J300" i="3"/>
  <c r="B300" i="3"/>
  <c r="A300" i="3"/>
  <c r="M299" i="3"/>
  <c r="L299" i="3"/>
  <c r="K299" i="3"/>
  <c r="J299" i="3"/>
  <c r="F299" i="3"/>
  <c r="E299" i="3"/>
  <c r="D299" i="3"/>
  <c r="C299" i="3"/>
  <c r="B299" i="3"/>
  <c r="A299" i="3"/>
  <c r="M298" i="3"/>
  <c r="L298" i="3"/>
  <c r="K298" i="3"/>
  <c r="J298" i="3"/>
  <c r="B298" i="3"/>
  <c r="A298" i="3"/>
  <c r="M297" i="3"/>
  <c r="L297" i="3"/>
  <c r="K297" i="3"/>
  <c r="J297" i="3"/>
  <c r="A297" i="3"/>
  <c r="M296" i="3"/>
  <c r="L296" i="3"/>
  <c r="K296" i="3"/>
  <c r="J296" i="3"/>
  <c r="I296" i="3"/>
  <c r="H296" i="3"/>
  <c r="G296" i="3"/>
  <c r="F296" i="3"/>
  <c r="E296" i="3"/>
  <c r="D296" i="3"/>
  <c r="C296" i="3"/>
  <c r="A296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A295" i="3"/>
  <c r="M294" i="3"/>
  <c r="L294" i="3"/>
  <c r="K294" i="3"/>
  <c r="A294" i="3"/>
  <c r="M293" i="3"/>
  <c r="L293" i="3"/>
  <c r="K293" i="3"/>
  <c r="A293" i="3"/>
  <c r="M292" i="3"/>
  <c r="L292" i="3"/>
  <c r="K292" i="3"/>
  <c r="A292" i="3"/>
  <c r="M291" i="3"/>
  <c r="L291" i="3"/>
  <c r="K291" i="3"/>
  <c r="J291" i="3"/>
  <c r="I291" i="3"/>
  <c r="H291" i="3"/>
  <c r="G291" i="3"/>
  <c r="F291" i="3"/>
  <c r="B291" i="3"/>
  <c r="A291" i="3"/>
  <c r="M290" i="3"/>
  <c r="L290" i="3"/>
  <c r="K290" i="3"/>
  <c r="J290" i="3"/>
  <c r="I290" i="3"/>
  <c r="G290" i="3"/>
  <c r="F290" i="3"/>
  <c r="A290" i="3"/>
  <c r="M289" i="3"/>
  <c r="L289" i="3"/>
  <c r="K289" i="3"/>
  <c r="J289" i="3"/>
  <c r="H289" i="3"/>
  <c r="E289" i="3"/>
  <c r="A289" i="3"/>
  <c r="M288" i="3"/>
  <c r="L288" i="3"/>
  <c r="K288" i="3"/>
  <c r="J288" i="3"/>
  <c r="I288" i="3"/>
  <c r="G288" i="3"/>
  <c r="A288" i="3"/>
  <c r="M287" i="3"/>
  <c r="L287" i="3"/>
  <c r="K287" i="3"/>
  <c r="A287" i="3"/>
  <c r="M286" i="3"/>
  <c r="L286" i="3"/>
  <c r="K286" i="3"/>
  <c r="J286" i="3"/>
  <c r="I286" i="3"/>
  <c r="H286" i="3"/>
  <c r="G286" i="3"/>
  <c r="F286" i="3"/>
  <c r="E286" i="3"/>
  <c r="C286" i="3"/>
  <c r="A286" i="3"/>
  <c r="M285" i="3"/>
  <c r="L285" i="3"/>
  <c r="K285" i="3"/>
  <c r="J285" i="3"/>
  <c r="F285" i="3"/>
  <c r="C285" i="3"/>
  <c r="A285" i="3"/>
  <c r="M284" i="3"/>
  <c r="L284" i="3"/>
  <c r="K284" i="3"/>
  <c r="J284" i="3"/>
  <c r="C284" i="3"/>
  <c r="B284" i="3"/>
  <c r="A284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A283" i="3"/>
  <c r="M282" i="3"/>
  <c r="L282" i="3"/>
  <c r="K282" i="3"/>
  <c r="A282" i="3"/>
  <c r="M281" i="3"/>
  <c r="L281" i="3"/>
  <c r="K281" i="3"/>
  <c r="J281" i="3"/>
  <c r="I281" i="3"/>
  <c r="H281" i="3"/>
  <c r="G281" i="3"/>
  <c r="F281" i="3"/>
  <c r="E281" i="3"/>
  <c r="C281" i="3"/>
  <c r="B281" i="3"/>
  <c r="A281" i="3"/>
  <c r="M280" i="3"/>
  <c r="L280" i="3"/>
  <c r="K280" i="3"/>
  <c r="J280" i="3"/>
  <c r="H280" i="3"/>
  <c r="D280" i="3"/>
  <c r="C280" i="3"/>
  <c r="B280" i="3"/>
  <c r="A280" i="3"/>
  <c r="M279" i="3"/>
  <c r="L279" i="3"/>
  <c r="K279" i="3"/>
  <c r="J279" i="3"/>
  <c r="A279" i="3"/>
  <c r="M278" i="3"/>
  <c r="L278" i="3"/>
  <c r="K278" i="3"/>
  <c r="A278" i="3"/>
  <c r="M277" i="3"/>
  <c r="L277" i="3"/>
  <c r="K277" i="3"/>
  <c r="J277" i="3"/>
  <c r="F277" i="3"/>
  <c r="E277" i="3"/>
  <c r="B277" i="3"/>
  <c r="A277" i="3"/>
  <c r="M276" i="3"/>
  <c r="L276" i="3"/>
  <c r="K276" i="3"/>
  <c r="J276" i="3"/>
  <c r="I276" i="3"/>
  <c r="H276" i="3"/>
  <c r="G276" i="3"/>
  <c r="F276" i="3"/>
  <c r="E276" i="3"/>
  <c r="B276" i="3"/>
  <c r="A276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A275" i="3"/>
  <c r="M274" i="3"/>
  <c r="L274" i="3"/>
  <c r="K274" i="3"/>
  <c r="A274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A273" i="3"/>
  <c r="M272" i="3"/>
  <c r="L272" i="3"/>
  <c r="K272" i="3"/>
  <c r="J272" i="3"/>
  <c r="I272" i="3"/>
  <c r="H272" i="3"/>
  <c r="G272" i="3"/>
  <c r="F272" i="3"/>
  <c r="E272" i="3"/>
  <c r="C272" i="3"/>
  <c r="B272" i="3"/>
  <c r="A272" i="3"/>
  <c r="M271" i="3"/>
  <c r="L271" i="3"/>
  <c r="K271" i="3"/>
  <c r="J271" i="3"/>
  <c r="D271" i="3"/>
  <c r="C271" i="3"/>
  <c r="B271" i="3"/>
  <c r="A271" i="3"/>
  <c r="M270" i="3"/>
  <c r="L270" i="3"/>
  <c r="K270" i="3"/>
  <c r="J270" i="3"/>
  <c r="I270" i="3"/>
  <c r="G270" i="3"/>
  <c r="F270" i="3"/>
  <c r="E270" i="3"/>
  <c r="D270" i="3"/>
  <c r="C270" i="3"/>
  <c r="B270" i="3"/>
  <c r="A270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A269" i="3"/>
  <c r="M268" i="3"/>
  <c r="L268" i="3"/>
  <c r="K268" i="3"/>
  <c r="J268" i="3"/>
  <c r="I268" i="3"/>
  <c r="G268" i="3"/>
  <c r="F268" i="3"/>
  <c r="B268" i="3"/>
  <c r="A268" i="3"/>
  <c r="M267" i="3"/>
  <c r="L267" i="3"/>
  <c r="K267" i="3"/>
  <c r="J267" i="3"/>
  <c r="E267" i="3"/>
  <c r="D267" i="3"/>
  <c r="B267" i="3"/>
  <c r="A267" i="3"/>
  <c r="M266" i="3"/>
  <c r="L266" i="3"/>
  <c r="K266" i="3"/>
  <c r="J266" i="3"/>
  <c r="I266" i="3"/>
  <c r="G266" i="3"/>
  <c r="F266" i="3"/>
  <c r="D266" i="3"/>
  <c r="C266" i="3"/>
  <c r="B266" i="3"/>
  <c r="A266" i="3"/>
  <c r="M265" i="3"/>
  <c r="L265" i="3"/>
  <c r="K265" i="3"/>
  <c r="J265" i="3"/>
  <c r="I265" i="3"/>
  <c r="H265" i="3"/>
  <c r="G265" i="3"/>
  <c r="F265" i="3"/>
  <c r="E265" i="3"/>
  <c r="D265" i="3"/>
  <c r="C265" i="3"/>
  <c r="B265" i="3"/>
  <c r="A265" i="3"/>
  <c r="M264" i="3"/>
  <c r="L264" i="3"/>
  <c r="K264" i="3"/>
  <c r="A264" i="3"/>
  <c r="M263" i="3"/>
  <c r="L263" i="3"/>
  <c r="K263" i="3"/>
  <c r="J263" i="3"/>
  <c r="I263" i="3"/>
  <c r="H263" i="3"/>
  <c r="G263" i="3"/>
  <c r="F263" i="3"/>
  <c r="B263" i="3"/>
  <c r="A263" i="3"/>
  <c r="M262" i="3"/>
  <c r="L262" i="3"/>
  <c r="K262" i="3"/>
  <c r="J262" i="3"/>
  <c r="B262" i="3"/>
  <c r="A262" i="3"/>
  <c r="M261" i="3"/>
  <c r="L261" i="3"/>
  <c r="K261" i="3"/>
  <c r="J261" i="3"/>
  <c r="H261" i="3"/>
  <c r="F261" i="3"/>
  <c r="E261" i="3"/>
  <c r="D261" i="3"/>
  <c r="B261" i="3"/>
  <c r="A261" i="3"/>
  <c r="M260" i="3"/>
  <c r="L260" i="3"/>
  <c r="K260" i="3"/>
  <c r="J260" i="3"/>
  <c r="H260" i="3"/>
  <c r="A260" i="3"/>
  <c r="M259" i="3"/>
  <c r="L259" i="3"/>
  <c r="K259" i="3"/>
  <c r="J259" i="3"/>
  <c r="I259" i="3"/>
  <c r="H259" i="3"/>
  <c r="G259" i="3"/>
  <c r="F259" i="3"/>
  <c r="E259" i="3"/>
  <c r="D259" i="3"/>
  <c r="C259" i="3"/>
  <c r="A259" i="3"/>
  <c r="M258" i="3"/>
  <c r="L258" i="3"/>
  <c r="K258" i="3"/>
  <c r="J258" i="3"/>
  <c r="I258" i="3"/>
  <c r="H258" i="3"/>
  <c r="G258" i="3"/>
  <c r="F258" i="3"/>
  <c r="E258" i="3"/>
  <c r="B258" i="3"/>
  <c r="A258" i="3"/>
  <c r="M257" i="3"/>
  <c r="L257" i="3"/>
  <c r="K257" i="3"/>
  <c r="J257" i="3"/>
  <c r="H257" i="3"/>
  <c r="E257" i="3"/>
  <c r="D257" i="3"/>
  <c r="C257" i="3"/>
  <c r="A257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A256" i="3"/>
  <c r="M255" i="3"/>
  <c r="L255" i="3"/>
  <c r="K255" i="3"/>
  <c r="A255" i="3"/>
  <c r="M254" i="3"/>
  <c r="L254" i="3"/>
  <c r="K254" i="3"/>
  <c r="J254" i="3"/>
  <c r="H254" i="3"/>
  <c r="G254" i="3"/>
  <c r="E254" i="3"/>
  <c r="C254" i="3"/>
  <c r="B254" i="3"/>
  <c r="A254" i="3"/>
  <c r="M253" i="3"/>
  <c r="L253" i="3"/>
  <c r="K253" i="3"/>
  <c r="H253" i="3"/>
  <c r="A253" i="3"/>
  <c r="M252" i="3"/>
  <c r="L252" i="3"/>
  <c r="K252" i="3"/>
  <c r="J252" i="3"/>
  <c r="I252" i="3"/>
  <c r="H252" i="3"/>
  <c r="G252" i="3"/>
  <c r="D252" i="3"/>
  <c r="C252" i="3"/>
  <c r="B252" i="3"/>
  <c r="A252" i="3"/>
  <c r="M251" i="3"/>
  <c r="L251" i="3"/>
  <c r="K251" i="3"/>
  <c r="J251" i="3"/>
  <c r="H251" i="3"/>
  <c r="G251" i="3"/>
  <c r="D251" i="3"/>
  <c r="C251" i="3"/>
  <c r="B251" i="3"/>
  <c r="A251" i="3"/>
  <c r="M250" i="3"/>
  <c r="L250" i="3"/>
  <c r="K250" i="3"/>
  <c r="J250" i="3"/>
  <c r="I250" i="3"/>
  <c r="H250" i="3"/>
  <c r="G250" i="3"/>
  <c r="F250" i="3"/>
  <c r="D250" i="3"/>
  <c r="C250" i="3"/>
  <c r="B250" i="3"/>
  <c r="A250" i="3"/>
  <c r="M249" i="3"/>
  <c r="L249" i="3"/>
  <c r="K249" i="3"/>
  <c r="J249" i="3"/>
  <c r="I249" i="3"/>
  <c r="H249" i="3"/>
  <c r="G249" i="3"/>
  <c r="F249" i="3"/>
  <c r="D249" i="3"/>
  <c r="C249" i="3"/>
  <c r="B249" i="3"/>
  <c r="A249" i="3"/>
  <c r="M248" i="3"/>
  <c r="L248" i="3"/>
  <c r="K248" i="3"/>
  <c r="J248" i="3"/>
  <c r="I248" i="3"/>
  <c r="H248" i="3"/>
  <c r="G248" i="3"/>
  <c r="D248" i="3"/>
  <c r="C248" i="3"/>
  <c r="B248" i="3"/>
  <c r="A248" i="3"/>
  <c r="M247" i="3"/>
  <c r="L247" i="3"/>
  <c r="K247" i="3"/>
  <c r="J247" i="3"/>
  <c r="I247" i="3"/>
  <c r="H247" i="3"/>
  <c r="G247" i="3"/>
  <c r="D247" i="3"/>
  <c r="B247" i="3"/>
  <c r="A247" i="3"/>
  <c r="M246" i="3"/>
  <c r="L246" i="3"/>
  <c r="K246" i="3"/>
  <c r="A246" i="3"/>
  <c r="M245" i="3"/>
  <c r="L245" i="3"/>
  <c r="K245" i="3"/>
  <c r="J245" i="3"/>
  <c r="I245" i="3"/>
  <c r="H245" i="3"/>
  <c r="G245" i="3"/>
  <c r="A245" i="3"/>
  <c r="M244" i="3"/>
  <c r="L244" i="3"/>
  <c r="K244" i="3"/>
  <c r="H244" i="3"/>
  <c r="E244" i="3"/>
  <c r="D244" i="3"/>
  <c r="C244" i="3"/>
  <c r="B244" i="3"/>
  <c r="A244" i="3"/>
  <c r="M243" i="3"/>
  <c r="L243" i="3"/>
  <c r="K243" i="3"/>
  <c r="J243" i="3"/>
  <c r="E243" i="3"/>
  <c r="B243" i="3"/>
  <c r="A243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A242" i="3"/>
  <c r="M241" i="3"/>
  <c r="L241" i="3"/>
  <c r="K241" i="3"/>
  <c r="A241" i="3"/>
  <c r="M240" i="3"/>
  <c r="L240" i="3"/>
  <c r="K240" i="3"/>
  <c r="J240" i="3"/>
  <c r="E240" i="3"/>
  <c r="D240" i="3"/>
  <c r="C240" i="3"/>
  <c r="B240" i="3"/>
  <c r="A240" i="3"/>
  <c r="M239" i="3"/>
  <c r="L239" i="3"/>
  <c r="K239" i="3"/>
  <c r="J239" i="3"/>
  <c r="I239" i="3"/>
  <c r="G239" i="3"/>
  <c r="F239" i="3"/>
  <c r="E239" i="3"/>
  <c r="D239" i="3"/>
  <c r="C239" i="3"/>
  <c r="B239" i="3"/>
  <c r="A239" i="3"/>
  <c r="M238" i="3"/>
  <c r="L238" i="3"/>
  <c r="K238" i="3"/>
  <c r="J238" i="3"/>
  <c r="I238" i="3"/>
  <c r="G238" i="3"/>
  <c r="F238" i="3"/>
  <c r="E238" i="3"/>
  <c r="D238" i="3"/>
  <c r="C238" i="3"/>
  <c r="B238" i="3"/>
  <c r="A238" i="3"/>
  <c r="M237" i="3"/>
  <c r="L237" i="3"/>
  <c r="K237" i="3"/>
  <c r="J237" i="3"/>
  <c r="I237" i="3"/>
  <c r="G237" i="3"/>
  <c r="F237" i="3"/>
  <c r="E237" i="3"/>
  <c r="D237" i="3"/>
  <c r="C237" i="3"/>
  <c r="B237" i="3"/>
  <c r="A237" i="3"/>
  <c r="M236" i="3"/>
  <c r="L236" i="3"/>
  <c r="K236" i="3"/>
  <c r="J236" i="3"/>
  <c r="H236" i="3"/>
  <c r="A236" i="3"/>
  <c r="M235" i="3"/>
  <c r="L235" i="3"/>
  <c r="K235" i="3"/>
  <c r="A235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A234" i="3"/>
  <c r="M233" i="3"/>
  <c r="L233" i="3"/>
  <c r="K233" i="3"/>
  <c r="J233" i="3"/>
  <c r="I233" i="3"/>
  <c r="H233" i="3"/>
  <c r="G233" i="3"/>
  <c r="F233" i="3"/>
  <c r="E233" i="3"/>
  <c r="D233" i="3"/>
  <c r="C233" i="3"/>
  <c r="A233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A232" i="3"/>
  <c r="M231" i="3"/>
  <c r="L231" i="3"/>
  <c r="K231" i="3"/>
  <c r="A231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A230" i="3"/>
  <c r="M229" i="3"/>
  <c r="L229" i="3"/>
  <c r="K229" i="3"/>
  <c r="A229" i="3"/>
  <c r="M228" i="3"/>
  <c r="L228" i="3"/>
  <c r="K228" i="3"/>
  <c r="I228" i="3"/>
  <c r="G228" i="3"/>
  <c r="F228" i="3"/>
  <c r="E228" i="3"/>
  <c r="D228" i="3"/>
  <c r="C228" i="3"/>
  <c r="B228" i="3"/>
  <c r="A228" i="3"/>
  <c r="M227" i="3"/>
  <c r="L227" i="3"/>
  <c r="K227" i="3"/>
  <c r="I227" i="3"/>
  <c r="G227" i="3"/>
  <c r="F227" i="3"/>
  <c r="E227" i="3"/>
  <c r="D227" i="3"/>
  <c r="C227" i="3"/>
  <c r="B227" i="3"/>
  <c r="A227" i="3"/>
  <c r="M226" i="3"/>
  <c r="L226" i="3"/>
  <c r="K226" i="3"/>
  <c r="I226" i="3"/>
  <c r="G226" i="3"/>
  <c r="F226" i="3"/>
  <c r="E226" i="3"/>
  <c r="D226" i="3"/>
  <c r="C226" i="3"/>
  <c r="B226" i="3"/>
  <c r="A226" i="3"/>
  <c r="M225" i="3"/>
  <c r="L225" i="3"/>
  <c r="K225" i="3"/>
  <c r="D225" i="3"/>
  <c r="C225" i="3"/>
  <c r="B225" i="3"/>
  <c r="A225" i="3"/>
  <c r="M224" i="3"/>
  <c r="L224" i="3"/>
  <c r="J224" i="3"/>
  <c r="I224" i="3"/>
  <c r="G224" i="3"/>
  <c r="F224" i="3"/>
  <c r="E224" i="3"/>
  <c r="D224" i="3"/>
  <c r="C224" i="3"/>
  <c r="B224" i="3"/>
  <c r="A224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A223" i="3"/>
  <c r="M222" i="3"/>
  <c r="L222" i="3"/>
  <c r="K222" i="3"/>
  <c r="A222" i="3"/>
  <c r="M221" i="3"/>
  <c r="L221" i="3"/>
  <c r="K221" i="3"/>
  <c r="J221" i="3"/>
  <c r="E221" i="3"/>
  <c r="D221" i="3"/>
  <c r="C221" i="3"/>
  <c r="B221" i="3"/>
  <c r="A221" i="3"/>
  <c r="M220" i="3"/>
  <c r="L220" i="3"/>
  <c r="K220" i="3"/>
  <c r="J220" i="3"/>
  <c r="D220" i="3"/>
  <c r="C220" i="3"/>
  <c r="B220" i="3"/>
  <c r="A220" i="3"/>
  <c r="M219" i="3"/>
  <c r="L219" i="3"/>
  <c r="K219" i="3"/>
  <c r="A219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A218" i="3"/>
  <c r="M217" i="3"/>
  <c r="L217" i="3"/>
  <c r="K217" i="3"/>
  <c r="J217" i="3"/>
  <c r="I217" i="3"/>
  <c r="H217" i="3"/>
  <c r="G217" i="3"/>
  <c r="F217" i="3"/>
  <c r="E217" i="3"/>
  <c r="D217" i="3"/>
  <c r="A217" i="3"/>
  <c r="M216" i="3"/>
  <c r="L216" i="3"/>
  <c r="K216" i="3"/>
  <c r="F216" i="3"/>
  <c r="E216" i="3"/>
  <c r="D216" i="3"/>
  <c r="C216" i="3"/>
  <c r="B216" i="3"/>
  <c r="A216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A215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A214" i="3"/>
  <c r="M213" i="3"/>
  <c r="L213" i="3"/>
  <c r="K213" i="3"/>
  <c r="A213" i="3"/>
  <c r="M212" i="3"/>
  <c r="L212" i="3"/>
  <c r="K212" i="3"/>
  <c r="J212" i="3"/>
  <c r="I212" i="3"/>
  <c r="H212" i="3"/>
  <c r="G212" i="3"/>
  <c r="D212" i="3"/>
  <c r="C212" i="3"/>
  <c r="B212" i="3"/>
  <c r="A212" i="3"/>
  <c r="M211" i="3"/>
  <c r="L211" i="3"/>
  <c r="K211" i="3"/>
  <c r="J211" i="3"/>
  <c r="I211" i="3"/>
  <c r="H211" i="3"/>
  <c r="G211" i="3"/>
  <c r="F211" i="3"/>
  <c r="E211" i="3"/>
  <c r="D211" i="3"/>
  <c r="B211" i="3"/>
  <c r="A211" i="3"/>
  <c r="M210" i="3"/>
  <c r="L210" i="3"/>
  <c r="K210" i="3"/>
  <c r="J210" i="3"/>
  <c r="A210" i="3"/>
  <c r="M209" i="3"/>
  <c r="L209" i="3"/>
  <c r="K209" i="3"/>
  <c r="I209" i="3"/>
  <c r="G209" i="3"/>
  <c r="A209" i="3"/>
  <c r="M208" i="3"/>
  <c r="L208" i="3"/>
  <c r="K208" i="3"/>
  <c r="J208" i="3"/>
  <c r="A208" i="3"/>
  <c r="M207" i="3"/>
  <c r="L207" i="3"/>
  <c r="K207" i="3"/>
  <c r="J207" i="3"/>
  <c r="I207" i="3"/>
  <c r="H207" i="3"/>
  <c r="G207" i="3"/>
  <c r="F207" i="3"/>
  <c r="E207" i="3"/>
  <c r="D207" i="3"/>
  <c r="A207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A206" i="3"/>
  <c r="M205" i="3"/>
  <c r="L205" i="3"/>
  <c r="K205" i="3"/>
  <c r="A205" i="3"/>
  <c r="M204" i="3"/>
  <c r="L204" i="3"/>
  <c r="K204" i="3"/>
  <c r="J204" i="3"/>
  <c r="D204" i="3"/>
  <c r="C204" i="3"/>
  <c r="B204" i="3"/>
  <c r="A204" i="3"/>
  <c r="M203" i="3"/>
  <c r="L203" i="3"/>
  <c r="K203" i="3"/>
  <c r="A203" i="3"/>
  <c r="M202" i="3"/>
  <c r="L202" i="3"/>
  <c r="K202" i="3"/>
  <c r="J202" i="3"/>
  <c r="H202" i="3"/>
  <c r="E202" i="3"/>
  <c r="D202" i="3"/>
  <c r="C202" i="3"/>
  <c r="B202" i="3"/>
  <c r="A202" i="3"/>
  <c r="M201" i="3"/>
  <c r="L201" i="3"/>
  <c r="K201" i="3"/>
  <c r="E201" i="3"/>
  <c r="D201" i="3"/>
  <c r="C201" i="3"/>
  <c r="B201" i="3"/>
  <c r="A201" i="3"/>
  <c r="M200" i="3"/>
  <c r="L200" i="3"/>
  <c r="K200" i="3"/>
  <c r="E200" i="3"/>
  <c r="D200" i="3"/>
  <c r="C200" i="3"/>
  <c r="B200" i="3"/>
  <c r="A200" i="3"/>
  <c r="M199" i="3"/>
  <c r="L199" i="3"/>
  <c r="K199" i="3"/>
  <c r="J199" i="3"/>
  <c r="I199" i="3"/>
  <c r="H199" i="3"/>
  <c r="G199" i="3"/>
  <c r="A199" i="3"/>
  <c r="M198" i="3"/>
  <c r="L198" i="3"/>
  <c r="K198" i="3"/>
  <c r="J198" i="3"/>
  <c r="I198" i="3"/>
  <c r="G198" i="3"/>
  <c r="F198" i="3"/>
  <c r="A198" i="3"/>
  <c r="M197" i="3"/>
  <c r="L197" i="3"/>
  <c r="K197" i="3"/>
  <c r="A197" i="3"/>
  <c r="M196" i="3"/>
  <c r="L196" i="3"/>
  <c r="K196" i="3"/>
  <c r="J196" i="3"/>
  <c r="E196" i="3"/>
  <c r="D196" i="3"/>
  <c r="C196" i="3"/>
  <c r="B196" i="3"/>
  <c r="A196" i="3"/>
  <c r="M195" i="3"/>
  <c r="L195" i="3"/>
  <c r="K195" i="3"/>
  <c r="J195" i="3"/>
  <c r="I195" i="3"/>
  <c r="H195" i="3"/>
  <c r="G195" i="3"/>
  <c r="F195" i="3"/>
  <c r="D195" i="3"/>
  <c r="C195" i="3"/>
  <c r="B195" i="3"/>
  <c r="A195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A194" i="3"/>
  <c r="M193" i="3"/>
  <c r="L193" i="3"/>
  <c r="K193" i="3"/>
  <c r="A193" i="3"/>
  <c r="M192" i="3"/>
  <c r="L192" i="3"/>
  <c r="K192" i="3"/>
  <c r="J192" i="3"/>
  <c r="I192" i="3"/>
  <c r="G192" i="3"/>
  <c r="F192" i="3"/>
  <c r="E192" i="3"/>
  <c r="D192" i="3"/>
  <c r="C192" i="3"/>
  <c r="B192" i="3"/>
  <c r="A192" i="3"/>
  <c r="M191" i="3"/>
  <c r="L191" i="3"/>
  <c r="K191" i="3"/>
  <c r="A191" i="3"/>
  <c r="M190" i="3"/>
  <c r="L190" i="3"/>
  <c r="K190" i="3"/>
  <c r="J190" i="3"/>
  <c r="A190" i="3"/>
  <c r="M189" i="3"/>
  <c r="L189" i="3"/>
  <c r="K189" i="3"/>
  <c r="A189" i="3"/>
  <c r="M188" i="3"/>
  <c r="L188" i="3"/>
  <c r="K188" i="3"/>
  <c r="A188" i="3"/>
  <c r="M187" i="3"/>
  <c r="L187" i="3"/>
  <c r="K187" i="3"/>
  <c r="J187" i="3"/>
  <c r="F187" i="3"/>
  <c r="A187" i="3"/>
  <c r="M186" i="3"/>
  <c r="L186" i="3"/>
  <c r="K186" i="3"/>
  <c r="J186" i="3"/>
  <c r="A186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A185" i="3"/>
  <c r="M184" i="3"/>
  <c r="L184" i="3"/>
  <c r="K184" i="3"/>
  <c r="A184" i="3"/>
  <c r="M183" i="3"/>
  <c r="L183" i="3"/>
  <c r="K183" i="3"/>
  <c r="A183" i="3"/>
  <c r="M182" i="3"/>
  <c r="L182" i="3"/>
  <c r="K182" i="3"/>
  <c r="J182" i="3"/>
  <c r="H182" i="3"/>
  <c r="A182" i="3"/>
  <c r="M181" i="3"/>
  <c r="L181" i="3"/>
  <c r="K181" i="3"/>
  <c r="J181" i="3"/>
  <c r="H181" i="3"/>
  <c r="A181" i="3"/>
  <c r="M180" i="3"/>
  <c r="L180" i="3"/>
  <c r="K180" i="3"/>
  <c r="J180" i="3"/>
  <c r="H180" i="3"/>
  <c r="A180" i="3"/>
  <c r="M179" i="3"/>
  <c r="L179" i="3"/>
  <c r="K179" i="3"/>
  <c r="J179" i="3"/>
  <c r="H179" i="3"/>
  <c r="A179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A178" i="3"/>
  <c r="M177" i="3"/>
  <c r="L177" i="3"/>
  <c r="K177" i="3"/>
  <c r="A177" i="3"/>
  <c r="M176" i="3"/>
  <c r="L176" i="3"/>
  <c r="K176" i="3"/>
  <c r="J176" i="3"/>
  <c r="H176" i="3"/>
  <c r="C176" i="3"/>
  <c r="A176" i="3"/>
  <c r="M175" i="3"/>
  <c r="L175" i="3"/>
  <c r="K175" i="3"/>
  <c r="A175" i="3"/>
  <c r="M174" i="3"/>
  <c r="L174" i="3"/>
  <c r="K174" i="3"/>
  <c r="J174" i="3"/>
  <c r="E174" i="3"/>
  <c r="D174" i="3"/>
  <c r="C174" i="3"/>
  <c r="B174" i="3"/>
  <c r="A174" i="3"/>
  <c r="M173" i="3"/>
  <c r="L173" i="3"/>
  <c r="K173" i="3"/>
  <c r="J173" i="3"/>
  <c r="A173" i="3"/>
  <c r="M172" i="3"/>
  <c r="L172" i="3"/>
  <c r="K172" i="3"/>
  <c r="J172" i="3"/>
  <c r="A172" i="3"/>
  <c r="M171" i="3"/>
  <c r="L171" i="3"/>
  <c r="K171" i="3"/>
  <c r="J171" i="3"/>
  <c r="I171" i="3"/>
  <c r="H171" i="3"/>
  <c r="G171" i="3"/>
  <c r="F171" i="3"/>
  <c r="E171" i="3"/>
  <c r="C171" i="3"/>
  <c r="A171" i="3"/>
  <c r="M170" i="3"/>
  <c r="L170" i="3"/>
  <c r="K170" i="3"/>
  <c r="J170" i="3"/>
  <c r="A170" i="3"/>
  <c r="M169" i="3"/>
  <c r="L169" i="3"/>
  <c r="K169" i="3"/>
  <c r="J169" i="3"/>
  <c r="H169" i="3"/>
  <c r="A169" i="3"/>
  <c r="M168" i="3"/>
  <c r="L168" i="3"/>
  <c r="K168" i="3"/>
  <c r="A168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A167" i="3"/>
  <c r="M166" i="3"/>
  <c r="L166" i="3"/>
  <c r="K166" i="3"/>
  <c r="J166" i="3"/>
  <c r="I166" i="3"/>
  <c r="H166" i="3"/>
  <c r="G166" i="3"/>
  <c r="F166" i="3"/>
  <c r="E166" i="3"/>
  <c r="D166" i="3"/>
  <c r="B166" i="3"/>
  <c r="A166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A165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A164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A163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A162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A161" i="3"/>
  <c r="M160" i="3"/>
  <c r="L160" i="3"/>
  <c r="K160" i="3"/>
  <c r="I160" i="3"/>
  <c r="H160" i="3"/>
  <c r="G160" i="3"/>
  <c r="F160" i="3"/>
  <c r="E160" i="3"/>
  <c r="D160" i="3"/>
  <c r="C160" i="3"/>
  <c r="B160" i="3"/>
  <c r="A160" i="3"/>
  <c r="M159" i="3"/>
  <c r="L159" i="3"/>
  <c r="K159" i="3"/>
  <c r="A159" i="3"/>
  <c r="M158" i="3"/>
  <c r="L158" i="3"/>
  <c r="K158" i="3"/>
  <c r="J158" i="3"/>
  <c r="I158" i="3"/>
  <c r="H158" i="3"/>
  <c r="G158" i="3"/>
  <c r="F158" i="3"/>
  <c r="E158" i="3"/>
  <c r="C158" i="3"/>
  <c r="B158" i="3"/>
  <c r="A158" i="3"/>
  <c r="M157" i="3"/>
  <c r="L157" i="3"/>
  <c r="K157" i="3"/>
  <c r="A157" i="3"/>
  <c r="M156" i="3"/>
  <c r="L156" i="3"/>
  <c r="K156" i="3"/>
  <c r="J156" i="3"/>
  <c r="I156" i="3"/>
  <c r="H156" i="3"/>
  <c r="G156" i="3"/>
  <c r="C156" i="3"/>
  <c r="B156" i="3"/>
  <c r="A156" i="3"/>
  <c r="M155" i="3"/>
  <c r="L155" i="3"/>
  <c r="K155" i="3"/>
  <c r="J155" i="3"/>
  <c r="I155" i="3"/>
  <c r="H155" i="3"/>
  <c r="G155" i="3"/>
  <c r="D155" i="3"/>
  <c r="C155" i="3"/>
  <c r="B155" i="3"/>
  <c r="A155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A154" i="3"/>
  <c r="M153" i="3"/>
  <c r="L153" i="3"/>
  <c r="K153" i="3"/>
  <c r="A153" i="3"/>
  <c r="M152" i="3"/>
  <c r="L152" i="3"/>
  <c r="K152" i="3"/>
  <c r="A152" i="3"/>
  <c r="M151" i="3"/>
  <c r="L151" i="3"/>
  <c r="K151" i="3"/>
  <c r="I151" i="3"/>
  <c r="H151" i="3"/>
  <c r="G151" i="3"/>
  <c r="F151" i="3"/>
  <c r="A151" i="3"/>
  <c r="M150" i="3"/>
  <c r="L150" i="3"/>
  <c r="K150" i="3"/>
  <c r="J150" i="3"/>
  <c r="H150" i="3"/>
  <c r="G150" i="3"/>
  <c r="F150" i="3"/>
  <c r="E150" i="3"/>
  <c r="D150" i="3"/>
  <c r="C150" i="3"/>
  <c r="B150" i="3"/>
  <c r="A150" i="3"/>
  <c r="M149" i="3"/>
  <c r="L149" i="3"/>
  <c r="K149" i="3"/>
  <c r="J149" i="3"/>
  <c r="H149" i="3"/>
  <c r="G149" i="3"/>
  <c r="F149" i="3"/>
  <c r="E149" i="3"/>
  <c r="D149" i="3"/>
  <c r="C149" i="3"/>
  <c r="B149" i="3"/>
  <c r="A149" i="3"/>
  <c r="M148" i="3"/>
  <c r="L148" i="3"/>
  <c r="K148" i="3"/>
  <c r="J148" i="3"/>
  <c r="A148" i="3"/>
  <c r="M147" i="3"/>
  <c r="L147" i="3"/>
  <c r="K147" i="3"/>
  <c r="J147" i="3"/>
  <c r="I147" i="3"/>
  <c r="H147" i="3"/>
  <c r="G147" i="3"/>
  <c r="F147" i="3"/>
  <c r="E147" i="3"/>
  <c r="A147" i="3"/>
  <c r="M146" i="3"/>
  <c r="L146" i="3"/>
  <c r="K146" i="3"/>
  <c r="A146" i="3"/>
  <c r="M145" i="3"/>
  <c r="L145" i="3"/>
  <c r="K145" i="3"/>
  <c r="C145" i="3"/>
  <c r="B145" i="3"/>
  <c r="A145" i="3"/>
  <c r="M144" i="3"/>
  <c r="L144" i="3"/>
  <c r="K144" i="3"/>
  <c r="J144" i="3"/>
  <c r="H144" i="3"/>
  <c r="E144" i="3"/>
  <c r="D144" i="3"/>
  <c r="C144" i="3"/>
  <c r="B144" i="3"/>
  <c r="A144" i="3"/>
  <c r="M143" i="3"/>
  <c r="L143" i="3"/>
  <c r="K143" i="3"/>
  <c r="A143" i="3"/>
  <c r="M142" i="3"/>
  <c r="L142" i="3"/>
  <c r="K142" i="3"/>
  <c r="E142" i="3"/>
  <c r="D142" i="3"/>
  <c r="C142" i="3"/>
  <c r="B142" i="3"/>
  <c r="A142" i="3"/>
  <c r="M141" i="3"/>
  <c r="L141" i="3"/>
  <c r="K141" i="3"/>
  <c r="E141" i="3"/>
  <c r="D141" i="3"/>
  <c r="C141" i="3"/>
  <c r="B141" i="3"/>
  <c r="A141" i="3"/>
  <c r="M140" i="3"/>
  <c r="L140" i="3"/>
  <c r="K140" i="3"/>
  <c r="E140" i="3"/>
  <c r="D140" i="3"/>
  <c r="C140" i="3"/>
  <c r="B140" i="3"/>
  <c r="A140" i="3"/>
  <c r="M139" i="3"/>
  <c r="L139" i="3"/>
  <c r="K139" i="3"/>
  <c r="E139" i="3"/>
  <c r="D139" i="3"/>
  <c r="C139" i="3"/>
  <c r="B139" i="3"/>
  <c r="A139" i="3"/>
  <c r="M138" i="3"/>
  <c r="L138" i="3"/>
  <c r="K138" i="3"/>
  <c r="J138" i="3"/>
  <c r="I138" i="3"/>
  <c r="H138" i="3"/>
  <c r="G138" i="3"/>
  <c r="A138" i="3"/>
  <c r="M137" i="3"/>
  <c r="L137" i="3"/>
  <c r="K137" i="3"/>
  <c r="J137" i="3"/>
  <c r="I137" i="3"/>
  <c r="A137" i="3"/>
  <c r="M136" i="3"/>
  <c r="L136" i="3"/>
  <c r="K136" i="3"/>
  <c r="A136" i="3"/>
  <c r="M135" i="3"/>
  <c r="L135" i="3"/>
  <c r="K135" i="3"/>
  <c r="J135" i="3"/>
  <c r="H135" i="3"/>
  <c r="F135" i="3"/>
  <c r="E135" i="3"/>
  <c r="D135" i="3"/>
  <c r="C135" i="3"/>
  <c r="B135" i="3"/>
  <c r="A135" i="3"/>
  <c r="M134" i="3"/>
  <c r="L134" i="3"/>
  <c r="K134" i="3"/>
  <c r="C134" i="3"/>
  <c r="B134" i="3"/>
  <c r="A134" i="3"/>
  <c r="M133" i="3"/>
  <c r="L133" i="3"/>
  <c r="K133" i="3"/>
  <c r="J133" i="3"/>
  <c r="I133" i="3"/>
  <c r="H133" i="3"/>
  <c r="G133" i="3"/>
  <c r="F133" i="3"/>
  <c r="E133" i="3"/>
  <c r="D133" i="3"/>
  <c r="B133" i="3"/>
  <c r="A133" i="3"/>
  <c r="M132" i="3"/>
  <c r="L132" i="3"/>
  <c r="K132" i="3"/>
  <c r="A132" i="3"/>
  <c r="M131" i="3"/>
  <c r="L131" i="3"/>
  <c r="K131" i="3"/>
  <c r="J131" i="3"/>
  <c r="A131" i="3"/>
  <c r="M130" i="3"/>
  <c r="L130" i="3"/>
  <c r="K130" i="3"/>
  <c r="J130" i="3"/>
  <c r="A130" i="3"/>
  <c r="M129" i="3"/>
  <c r="L129" i="3"/>
  <c r="K129" i="3"/>
  <c r="J129" i="3"/>
  <c r="H129" i="3"/>
  <c r="F129" i="3"/>
  <c r="E129" i="3"/>
  <c r="D129" i="3"/>
  <c r="C129" i="3"/>
  <c r="A129" i="3"/>
  <c r="M128" i="3"/>
  <c r="L128" i="3"/>
  <c r="K128" i="3"/>
  <c r="A128" i="3"/>
  <c r="M127" i="3"/>
  <c r="L127" i="3"/>
  <c r="K127" i="3"/>
  <c r="J127" i="3"/>
  <c r="I127" i="3"/>
  <c r="G127" i="3"/>
  <c r="D127" i="3"/>
  <c r="C127" i="3"/>
  <c r="B127" i="3"/>
  <c r="A127" i="3"/>
  <c r="M126" i="3"/>
  <c r="L126" i="3"/>
  <c r="K126" i="3"/>
  <c r="J126" i="3"/>
  <c r="A126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A125" i="3"/>
  <c r="M124" i="3"/>
  <c r="L124" i="3"/>
  <c r="K124" i="3"/>
  <c r="A124" i="3"/>
  <c r="M123" i="3"/>
  <c r="L123" i="3"/>
  <c r="K123" i="3"/>
  <c r="A123" i="3"/>
  <c r="M122" i="3"/>
  <c r="L122" i="3"/>
  <c r="K122" i="3"/>
  <c r="A122" i="3"/>
  <c r="M121" i="3"/>
  <c r="L121" i="3"/>
  <c r="K121" i="3"/>
  <c r="J121" i="3"/>
  <c r="E121" i="3"/>
  <c r="D121" i="3"/>
  <c r="C121" i="3"/>
  <c r="B121" i="3"/>
  <c r="A121" i="3"/>
  <c r="M120" i="3"/>
  <c r="L120" i="3"/>
  <c r="K120" i="3"/>
  <c r="J120" i="3"/>
  <c r="I120" i="3"/>
  <c r="G120" i="3"/>
  <c r="F120" i="3"/>
  <c r="E120" i="3"/>
  <c r="D120" i="3"/>
  <c r="C120" i="3"/>
  <c r="B120" i="3"/>
  <c r="A120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A119" i="3"/>
  <c r="M118" i="3"/>
  <c r="L118" i="3"/>
  <c r="K118" i="3"/>
  <c r="J118" i="3"/>
  <c r="I118" i="3"/>
  <c r="H118" i="3"/>
  <c r="G118" i="3"/>
  <c r="F118" i="3"/>
  <c r="E118" i="3"/>
  <c r="D118" i="3"/>
  <c r="C118" i="3"/>
  <c r="A118" i="3"/>
  <c r="M117" i="3"/>
  <c r="L117" i="3"/>
  <c r="K117" i="3"/>
  <c r="J117" i="3"/>
  <c r="A117" i="3"/>
  <c r="M116" i="3"/>
  <c r="L116" i="3"/>
  <c r="K116" i="3"/>
  <c r="A116" i="3"/>
  <c r="M115" i="3"/>
  <c r="L115" i="3"/>
  <c r="K115" i="3"/>
  <c r="J115" i="3"/>
  <c r="A115" i="3"/>
  <c r="M114" i="3"/>
  <c r="L114" i="3"/>
  <c r="K114" i="3"/>
  <c r="J114" i="3"/>
  <c r="I114" i="3"/>
  <c r="H114" i="3"/>
  <c r="G114" i="3"/>
  <c r="D114" i="3"/>
  <c r="C114" i="3"/>
  <c r="A114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A113" i="3"/>
  <c r="M112" i="3"/>
  <c r="L112" i="3"/>
  <c r="K112" i="3"/>
  <c r="A112" i="3"/>
  <c r="M111" i="3"/>
  <c r="L111" i="3"/>
  <c r="K111" i="3"/>
  <c r="J111" i="3"/>
  <c r="E111" i="3"/>
  <c r="D111" i="3"/>
  <c r="C111" i="3"/>
  <c r="B111" i="3"/>
  <c r="A111" i="3"/>
  <c r="M110" i="3"/>
  <c r="L110" i="3"/>
  <c r="K110" i="3"/>
  <c r="D110" i="3"/>
  <c r="C110" i="3"/>
  <c r="B110" i="3"/>
  <c r="A110" i="3"/>
  <c r="M109" i="3"/>
  <c r="L109" i="3"/>
  <c r="K109" i="3"/>
  <c r="A109" i="3"/>
  <c r="M108" i="3"/>
  <c r="L108" i="3"/>
  <c r="K108" i="3"/>
  <c r="A108" i="3"/>
  <c r="M107" i="3"/>
  <c r="L107" i="3"/>
  <c r="K107" i="3"/>
  <c r="J107" i="3"/>
  <c r="I107" i="3"/>
  <c r="H107" i="3"/>
  <c r="A107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A106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A105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A104" i="3"/>
  <c r="M103" i="3"/>
  <c r="L103" i="3"/>
  <c r="K103" i="3"/>
  <c r="A103" i="3"/>
  <c r="M102" i="3"/>
  <c r="L102" i="3"/>
  <c r="K102" i="3"/>
  <c r="J102" i="3"/>
  <c r="I102" i="3"/>
  <c r="G102" i="3"/>
  <c r="F102" i="3"/>
  <c r="A102" i="3"/>
  <c r="M101" i="3"/>
  <c r="L101" i="3"/>
  <c r="K101" i="3"/>
  <c r="A101" i="3"/>
  <c r="O100" i="3"/>
  <c r="N100" i="3"/>
  <c r="M100" i="3"/>
  <c r="L100" i="3"/>
  <c r="K100" i="3"/>
  <c r="A100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A99" i="3"/>
  <c r="O98" i="3"/>
  <c r="N98" i="3"/>
  <c r="M98" i="3"/>
  <c r="L98" i="3"/>
  <c r="K98" i="3"/>
  <c r="J98" i="3"/>
  <c r="I98" i="3"/>
  <c r="G98" i="3"/>
  <c r="C98" i="3"/>
  <c r="A98" i="3"/>
  <c r="O97" i="3"/>
  <c r="N97" i="3"/>
  <c r="M97" i="3"/>
  <c r="L97" i="3"/>
  <c r="K97" i="3"/>
  <c r="J97" i="3"/>
  <c r="I97" i="3"/>
  <c r="H97" i="3"/>
  <c r="G97" i="3"/>
  <c r="F97" i="3"/>
  <c r="E97" i="3"/>
  <c r="D97" i="3"/>
  <c r="B97" i="3"/>
  <c r="A97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A96" i="3"/>
  <c r="O95" i="3"/>
  <c r="N95" i="3"/>
  <c r="M95" i="3"/>
  <c r="L95" i="3"/>
  <c r="K95" i="3"/>
  <c r="A95" i="3"/>
  <c r="M94" i="3"/>
  <c r="L94" i="3"/>
  <c r="K94" i="3"/>
  <c r="D94" i="3"/>
  <c r="C94" i="3"/>
  <c r="B94" i="3"/>
  <c r="A94" i="3"/>
  <c r="M93" i="3"/>
  <c r="L93" i="3"/>
  <c r="K93" i="3"/>
  <c r="D93" i="3"/>
  <c r="C93" i="3"/>
  <c r="B93" i="3"/>
  <c r="A93" i="3"/>
  <c r="M92" i="3"/>
  <c r="L92" i="3"/>
  <c r="K92" i="3"/>
  <c r="A92" i="3"/>
  <c r="M91" i="3"/>
  <c r="L91" i="3"/>
  <c r="K91" i="3"/>
  <c r="A91" i="3"/>
  <c r="M90" i="3"/>
  <c r="L90" i="3"/>
  <c r="K90" i="3"/>
  <c r="A90" i="3"/>
  <c r="M89" i="3"/>
  <c r="L89" i="3"/>
  <c r="K89" i="3"/>
  <c r="A89" i="3"/>
  <c r="O88" i="3"/>
  <c r="M88" i="3"/>
  <c r="L88" i="3"/>
  <c r="K88" i="3"/>
  <c r="A88" i="3"/>
  <c r="O87" i="3"/>
  <c r="N87" i="3"/>
  <c r="M87" i="3"/>
  <c r="L87" i="3"/>
  <c r="K87" i="3"/>
  <c r="A87" i="3"/>
  <c r="O86" i="3"/>
  <c r="N86" i="3"/>
  <c r="M86" i="3"/>
  <c r="L86" i="3"/>
  <c r="K86" i="3"/>
  <c r="I86" i="3"/>
  <c r="H86" i="3"/>
  <c r="G86" i="3"/>
  <c r="F86" i="3"/>
  <c r="A86" i="3"/>
  <c r="M85" i="3"/>
  <c r="L85" i="3"/>
  <c r="K85" i="3"/>
  <c r="A85" i="3"/>
  <c r="O84" i="3"/>
  <c r="N84" i="3"/>
  <c r="M84" i="3"/>
  <c r="L84" i="3"/>
  <c r="K84" i="3"/>
  <c r="A84" i="3"/>
  <c r="O83" i="3"/>
  <c r="N83" i="3"/>
  <c r="M83" i="3"/>
  <c r="L83" i="3"/>
  <c r="K83" i="3"/>
  <c r="A83" i="3"/>
  <c r="O82" i="3"/>
  <c r="N82" i="3"/>
  <c r="M82" i="3"/>
  <c r="L82" i="3"/>
  <c r="K82" i="3"/>
  <c r="A82" i="3"/>
  <c r="O81" i="3"/>
  <c r="N81" i="3"/>
  <c r="M81" i="3"/>
  <c r="L81" i="3"/>
  <c r="K81" i="3"/>
  <c r="J81" i="3"/>
  <c r="I81" i="3"/>
  <c r="H81" i="3"/>
  <c r="G81" i="3"/>
  <c r="F81" i="3"/>
  <c r="E81" i="3"/>
  <c r="C81" i="3"/>
  <c r="B81" i="3"/>
  <c r="A81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A80" i="3"/>
  <c r="O79" i="3"/>
  <c r="N79" i="3"/>
  <c r="M79" i="3"/>
  <c r="L79" i="3"/>
  <c r="K79" i="3"/>
  <c r="A79" i="3"/>
  <c r="O78" i="3"/>
  <c r="N78" i="3"/>
  <c r="M78" i="3"/>
  <c r="L78" i="3"/>
  <c r="K78" i="3"/>
  <c r="J78" i="3"/>
  <c r="D78" i="3"/>
  <c r="C78" i="3"/>
  <c r="B78" i="3"/>
  <c r="A78" i="3"/>
  <c r="O77" i="3"/>
  <c r="N77" i="3"/>
  <c r="M77" i="3"/>
  <c r="L77" i="3"/>
  <c r="K77" i="3"/>
  <c r="J77" i="3"/>
  <c r="I77" i="3"/>
  <c r="G77" i="3"/>
  <c r="F77" i="3"/>
  <c r="E77" i="3"/>
  <c r="D77" i="3"/>
  <c r="C77" i="3"/>
  <c r="B77" i="3"/>
  <c r="A77" i="3"/>
  <c r="O76" i="3"/>
  <c r="N76" i="3"/>
  <c r="M76" i="3"/>
  <c r="L76" i="3"/>
  <c r="K76" i="3"/>
  <c r="J76" i="3"/>
  <c r="F76" i="3"/>
  <c r="E76" i="3"/>
  <c r="D76" i="3"/>
  <c r="C76" i="3"/>
  <c r="B76" i="3"/>
  <c r="A76" i="3"/>
  <c r="O75" i="3"/>
  <c r="N75" i="3"/>
  <c r="M75" i="3"/>
  <c r="L75" i="3"/>
  <c r="K75" i="3"/>
  <c r="J75" i="3"/>
  <c r="A75" i="3"/>
  <c r="O74" i="3"/>
  <c r="N74" i="3"/>
  <c r="M74" i="3"/>
  <c r="L74" i="3"/>
  <c r="K74" i="3"/>
  <c r="J74" i="3"/>
  <c r="A74" i="3"/>
  <c r="O73" i="3"/>
  <c r="N73" i="3"/>
  <c r="M73" i="3"/>
  <c r="L73" i="3"/>
  <c r="K73" i="3"/>
  <c r="J73" i="3"/>
  <c r="A73" i="3"/>
  <c r="O72" i="3"/>
  <c r="N72" i="3"/>
  <c r="M72" i="3"/>
  <c r="L72" i="3"/>
  <c r="K72" i="3"/>
  <c r="A72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A71" i="3"/>
  <c r="O70" i="3"/>
  <c r="N70" i="3"/>
  <c r="M70" i="3"/>
  <c r="L70" i="3"/>
  <c r="K70" i="3"/>
  <c r="A70" i="3"/>
  <c r="O69" i="3"/>
  <c r="K69" i="3"/>
  <c r="A69" i="3"/>
  <c r="O68" i="3"/>
  <c r="M68" i="3"/>
  <c r="L68" i="3"/>
  <c r="A68" i="3"/>
  <c r="O67" i="3"/>
  <c r="M67" i="3"/>
  <c r="L67" i="3"/>
  <c r="K67" i="3"/>
  <c r="A67" i="3"/>
  <c r="O66" i="3"/>
  <c r="M66" i="3"/>
  <c r="K66" i="3"/>
  <c r="A66" i="3"/>
  <c r="O65" i="3"/>
  <c r="L65" i="3"/>
  <c r="K65" i="3"/>
  <c r="A65" i="3"/>
  <c r="O64" i="3"/>
  <c r="N64" i="3"/>
  <c r="M64" i="3"/>
  <c r="L64" i="3"/>
  <c r="K64" i="3"/>
  <c r="J64" i="3"/>
  <c r="H64" i="3"/>
  <c r="A64" i="3"/>
  <c r="O63" i="3"/>
  <c r="N63" i="3"/>
  <c r="M63" i="3"/>
  <c r="L63" i="3"/>
  <c r="J63" i="3"/>
  <c r="H63" i="3"/>
  <c r="A63" i="3"/>
  <c r="O62" i="3"/>
  <c r="N62" i="3"/>
  <c r="M62" i="3"/>
  <c r="L62" i="3"/>
  <c r="K62" i="3"/>
  <c r="J62" i="3"/>
  <c r="H62" i="3"/>
  <c r="A62" i="3"/>
  <c r="O61" i="3"/>
  <c r="L61" i="3"/>
  <c r="K61" i="3"/>
  <c r="A61" i="3"/>
  <c r="O60" i="3"/>
  <c r="N60" i="3"/>
  <c r="L60" i="3"/>
  <c r="K60" i="3"/>
  <c r="A60" i="3"/>
  <c r="O59" i="3"/>
  <c r="M59" i="3"/>
  <c r="L59" i="3"/>
  <c r="K59" i="3"/>
  <c r="A59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A58" i="3"/>
  <c r="M57" i="3"/>
  <c r="L57" i="3"/>
  <c r="K57" i="3"/>
  <c r="J57" i="3"/>
  <c r="I57" i="3"/>
  <c r="H57" i="3"/>
  <c r="G57" i="3"/>
  <c r="F57" i="3"/>
  <c r="A57" i="3"/>
  <c r="M56" i="3"/>
  <c r="L56" i="3"/>
  <c r="K56" i="3"/>
  <c r="J56" i="3"/>
  <c r="I56" i="3"/>
  <c r="H56" i="3"/>
  <c r="G56" i="3"/>
  <c r="F56" i="3"/>
  <c r="E56" i="3"/>
  <c r="D56" i="3"/>
  <c r="C56" i="3"/>
  <c r="B56" i="3"/>
  <c r="A56" i="3"/>
  <c r="M55" i="3"/>
  <c r="L55" i="3"/>
  <c r="K55" i="3"/>
  <c r="J55" i="3"/>
  <c r="I55" i="3"/>
  <c r="H55" i="3"/>
  <c r="G55" i="3"/>
  <c r="F55" i="3"/>
  <c r="E55" i="3"/>
  <c r="D55" i="3"/>
  <c r="C55" i="3"/>
  <c r="B55" i="3"/>
  <c r="A55" i="3"/>
  <c r="M54" i="3"/>
  <c r="L54" i="3"/>
  <c r="K54" i="3"/>
  <c r="A54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M52" i="3"/>
  <c r="L52" i="3"/>
  <c r="K52" i="3"/>
  <c r="A52" i="3"/>
  <c r="M51" i="3"/>
  <c r="L51" i="3"/>
  <c r="K51" i="3"/>
  <c r="I51" i="3"/>
  <c r="H51" i="3"/>
  <c r="G51" i="3"/>
  <c r="F51" i="3"/>
  <c r="E51" i="3"/>
  <c r="D51" i="3"/>
  <c r="C51" i="3"/>
  <c r="B51" i="3"/>
  <c r="A51" i="3"/>
  <c r="M50" i="3"/>
  <c r="L50" i="3"/>
  <c r="K50" i="3"/>
  <c r="J50" i="3"/>
  <c r="I50" i="3"/>
  <c r="H50" i="3"/>
  <c r="G50" i="3"/>
  <c r="F50" i="3"/>
  <c r="E50" i="3"/>
  <c r="D50" i="3"/>
  <c r="C50" i="3"/>
  <c r="B50" i="3"/>
  <c r="A50" i="3"/>
  <c r="M49" i="3"/>
  <c r="L49" i="3"/>
  <c r="K49" i="3"/>
  <c r="J49" i="3"/>
  <c r="I49" i="3"/>
  <c r="H49" i="3"/>
  <c r="G49" i="3"/>
  <c r="F49" i="3"/>
  <c r="E49" i="3"/>
  <c r="D49" i="3"/>
  <c r="C49" i="3"/>
  <c r="B49" i="3"/>
  <c r="A49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M47" i="3"/>
  <c r="L47" i="3"/>
  <c r="K47" i="3"/>
  <c r="A47" i="3"/>
  <c r="M46" i="3"/>
  <c r="L46" i="3"/>
  <c r="K46" i="3"/>
  <c r="J46" i="3"/>
  <c r="I46" i="3"/>
  <c r="H46" i="3"/>
  <c r="G46" i="3"/>
  <c r="F46" i="3"/>
  <c r="E46" i="3"/>
  <c r="D46" i="3"/>
  <c r="C46" i="3"/>
  <c r="A46" i="3"/>
  <c r="M45" i="3"/>
  <c r="L45" i="3"/>
  <c r="K45" i="3"/>
  <c r="J45" i="3"/>
  <c r="I45" i="3"/>
  <c r="H45" i="3"/>
  <c r="G45" i="3"/>
  <c r="F45" i="3"/>
  <c r="E45" i="3"/>
  <c r="A45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M43" i="3"/>
  <c r="L43" i="3"/>
  <c r="K43" i="3"/>
  <c r="J43" i="3"/>
  <c r="I43" i="3"/>
  <c r="H43" i="3"/>
  <c r="G43" i="3"/>
  <c r="F43" i="3"/>
  <c r="E43" i="3"/>
  <c r="D43" i="3"/>
  <c r="A43" i="3"/>
  <c r="M42" i="3"/>
  <c r="L42" i="3"/>
  <c r="K42" i="3"/>
  <c r="J42" i="3"/>
  <c r="I42" i="3"/>
  <c r="H42" i="3"/>
  <c r="G42" i="3"/>
  <c r="F42" i="3"/>
  <c r="E42" i="3"/>
  <c r="A42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M40" i="3"/>
  <c r="L40" i="3"/>
  <c r="K40" i="3"/>
  <c r="J40" i="3"/>
  <c r="A40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M38" i="3"/>
  <c r="L38" i="3"/>
  <c r="K38" i="3"/>
  <c r="A38" i="3"/>
  <c r="M37" i="3"/>
  <c r="L37" i="3"/>
  <c r="K37" i="3"/>
  <c r="A37" i="3"/>
  <c r="M36" i="3"/>
  <c r="L36" i="3"/>
  <c r="K36" i="3"/>
  <c r="J36" i="3"/>
  <c r="A36" i="3"/>
  <c r="M35" i="3"/>
  <c r="L35" i="3"/>
  <c r="K35" i="3"/>
  <c r="J35" i="3"/>
  <c r="I35" i="3"/>
  <c r="H35" i="3"/>
  <c r="G35" i="3"/>
  <c r="F35" i="3"/>
  <c r="E35" i="3"/>
  <c r="B35" i="3"/>
  <c r="A35" i="3"/>
  <c r="M34" i="3"/>
  <c r="L34" i="3"/>
  <c r="K34" i="3"/>
  <c r="A34" i="3"/>
  <c r="M33" i="3"/>
  <c r="L33" i="3"/>
  <c r="K33" i="3"/>
  <c r="J33" i="3"/>
  <c r="H33" i="3"/>
  <c r="C33" i="3"/>
  <c r="B33" i="3"/>
  <c r="A33" i="3"/>
  <c r="M32" i="3"/>
  <c r="L32" i="3"/>
  <c r="K32" i="3"/>
  <c r="J32" i="3"/>
  <c r="H32" i="3"/>
  <c r="E32" i="3"/>
  <c r="D32" i="3"/>
  <c r="C32" i="3"/>
  <c r="B32" i="3"/>
  <c r="A32" i="3"/>
  <c r="M31" i="3"/>
  <c r="L31" i="3"/>
  <c r="K31" i="3"/>
  <c r="J31" i="3"/>
  <c r="I31" i="3"/>
  <c r="H31" i="3"/>
  <c r="G31" i="3"/>
  <c r="F31" i="3"/>
  <c r="E31" i="3"/>
  <c r="C31" i="3"/>
  <c r="B31" i="3"/>
  <c r="A31" i="3"/>
  <c r="M30" i="3"/>
  <c r="L30" i="3"/>
  <c r="K30" i="3"/>
  <c r="J30" i="3"/>
  <c r="C30" i="3"/>
  <c r="B30" i="3"/>
  <c r="A30" i="3"/>
  <c r="M29" i="3"/>
  <c r="L29" i="3"/>
  <c r="K29" i="3"/>
  <c r="J29" i="3"/>
  <c r="I29" i="3"/>
  <c r="H29" i="3"/>
  <c r="G29" i="3"/>
  <c r="C29" i="3"/>
  <c r="B29" i="3"/>
  <c r="A29" i="3"/>
  <c r="M28" i="3"/>
  <c r="L28" i="3"/>
  <c r="K28" i="3"/>
  <c r="J28" i="3"/>
  <c r="H28" i="3"/>
  <c r="E28" i="3"/>
  <c r="C28" i="3"/>
  <c r="B28" i="3"/>
  <c r="A28" i="3"/>
  <c r="M27" i="3"/>
  <c r="L27" i="3"/>
  <c r="K27" i="3"/>
  <c r="J27" i="3"/>
  <c r="I27" i="3"/>
  <c r="H27" i="3"/>
  <c r="G27" i="3"/>
  <c r="F27" i="3"/>
  <c r="E27" i="3"/>
  <c r="C27" i="3"/>
  <c r="B27" i="3"/>
  <c r="A27" i="3"/>
  <c r="M26" i="3"/>
  <c r="L26" i="3"/>
  <c r="K26" i="3"/>
  <c r="J26" i="3"/>
  <c r="C26" i="3"/>
  <c r="B26" i="3"/>
  <c r="A26" i="3"/>
  <c r="M25" i="3"/>
  <c r="L25" i="3"/>
  <c r="K25" i="3"/>
  <c r="J25" i="3"/>
  <c r="I25" i="3"/>
  <c r="H25" i="3"/>
  <c r="G25" i="3"/>
  <c r="F25" i="3"/>
  <c r="E25" i="3"/>
  <c r="D25" i="3"/>
  <c r="A25" i="3"/>
  <c r="M24" i="3"/>
  <c r="L24" i="3"/>
  <c r="K24" i="3"/>
  <c r="J24" i="3"/>
  <c r="H24" i="3"/>
  <c r="F24" i="3"/>
  <c r="E24" i="3"/>
  <c r="D24" i="3"/>
  <c r="A24" i="3"/>
  <c r="M23" i="3"/>
  <c r="L23" i="3"/>
  <c r="K23" i="3"/>
  <c r="H23" i="3"/>
  <c r="A23" i="3"/>
  <c r="M22" i="3"/>
  <c r="L22" i="3"/>
  <c r="K22" i="3"/>
  <c r="J22" i="3"/>
  <c r="I22" i="3"/>
  <c r="H22" i="3"/>
  <c r="G22" i="3"/>
  <c r="F22" i="3"/>
  <c r="E22" i="3"/>
  <c r="B22" i="3"/>
  <c r="A22" i="3"/>
  <c r="M21" i="3"/>
  <c r="L21" i="3"/>
  <c r="K21" i="3"/>
  <c r="J21" i="3"/>
  <c r="I21" i="3"/>
  <c r="H21" i="3"/>
  <c r="G21" i="3"/>
  <c r="F21" i="3"/>
  <c r="E21" i="3"/>
  <c r="B21" i="3"/>
  <c r="A21" i="3"/>
  <c r="M20" i="3"/>
  <c r="L20" i="3"/>
  <c r="K20" i="3"/>
  <c r="F20" i="3"/>
  <c r="A20" i="3"/>
  <c r="M19" i="3"/>
  <c r="L19" i="3"/>
  <c r="K19" i="3"/>
  <c r="J19" i="3"/>
  <c r="I19" i="3"/>
  <c r="H19" i="3"/>
  <c r="G19" i="3"/>
  <c r="F19" i="3"/>
  <c r="E19" i="3"/>
  <c r="C19" i="3"/>
  <c r="A19" i="3"/>
  <c r="M18" i="3"/>
  <c r="L18" i="3"/>
  <c r="K18" i="3"/>
  <c r="J18" i="3"/>
  <c r="A18" i="3"/>
  <c r="M17" i="3"/>
  <c r="L17" i="3"/>
  <c r="K17" i="3"/>
  <c r="J17" i="3"/>
  <c r="I17" i="3"/>
  <c r="G17" i="3"/>
  <c r="A17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M15" i="3"/>
  <c r="L15" i="3"/>
  <c r="K15" i="3"/>
  <c r="A15" i="3"/>
  <c r="M14" i="3"/>
  <c r="L14" i="3"/>
  <c r="K14" i="3"/>
  <c r="J14" i="3"/>
  <c r="I14" i="3"/>
  <c r="H14" i="3"/>
  <c r="G14" i="3"/>
  <c r="F14" i="3"/>
  <c r="E14" i="3"/>
  <c r="A14" i="3"/>
  <c r="M13" i="3"/>
  <c r="L13" i="3"/>
  <c r="K13" i="3"/>
  <c r="J13" i="3"/>
  <c r="E13" i="3"/>
  <c r="D13" i="3"/>
  <c r="C13" i="3"/>
  <c r="B13" i="3"/>
  <c r="A13" i="3"/>
  <c r="M12" i="3"/>
  <c r="L12" i="3"/>
  <c r="K12" i="3"/>
  <c r="J12" i="3"/>
  <c r="H12" i="3"/>
  <c r="G12" i="3"/>
  <c r="F12" i="3"/>
  <c r="E12" i="3"/>
  <c r="D12" i="3"/>
  <c r="C12" i="3"/>
  <c r="A12" i="3"/>
  <c r="M11" i="3"/>
  <c r="L11" i="3"/>
  <c r="K11" i="3"/>
  <c r="J11" i="3"/>
  <c r="A11" i="3"/>
  <c r="M10" i="3"/>
  <c r="L10" i="3"/>
  <c r="K10" i="3"/>
  <c r="A10" i="3"/>
  <c r="M9" i="3"/>
  <c r="L9" i="3"/>
  <c r="K9" i="3"/>
  <c r="I9" i="3"/>
  <c r="G9" i="3"/>
  <c r="C9" i="3"/>
  <c r="A9" i="3"/>
  <c r="M8" i="3"/>
  <c r="L8" i="3"/>
  <c r="K8" i="3"/>
  <c r="J8" i="3"/>
  <c r="D8" i="3"/>
  <c r="B8" i="3"/>
  <c r="A8" i="3"/>
  <c r="M7" i="3"/>
  <c r="L7" i="3"/>
  <c r="K7" i="3"/>
  <c r="J7" i="3"/>
  <c r="I7" i="3"/>
  <c r="H7" i="3"/>
  <c r="G7" i="3"/>
  <c r="A7" i="3"/>
  <c r="M6" i="3"/>
  <c r="L6" i="3"/>
  <c r="K6" i="3"/>
  <c r="J6" i="3"/>
  <c r="H6" i="3"/>
  <c r="E6" i="3"/>
  <c r="D6" i="3"/>
  <c r="C6" i="3"/>
  <c r="B6" i="3"/>
  <c r="A6" i="3"/>
  <c r="M5" i="3"/>
  <c r="L5" i="3"/>
  <c r="K5" i="3"/>
  <c r="A5" i="3"/>
  <c r="M4" i="3"/>
  <c r="L4" i="3"/>
  <c r="K4" i="3"/>
  <c r="J4" i="3"/>
  <c r="I4" i="3"/>
  <c r="H4" i="3"/>
  <c r="G4" i="3"/>
  <c r="F4" i="3"/>
  <c r="E4" i="3"/>
  <c r="D4" i="3"/>
  <c r="C4" i="3"/>
  <c r="B4" i="3"/>
  <c r="A4" i="3"/>
  <c r="M3" i="3"/>
  <c r="L3" i="3"/>
  <c r="K3" i="3"/>
  <c r="J3" i="3"/>
  <c r="I3" i="3"/>
  <c r="H3" i="3"/>
  <c r="G3" i="3"/>
  <c r="F3" i="3"/>
  <c r="E3" i="3"/>
  <c r="D3" i="3"/>
  <c r="C3" i="3"/>
  <c r="B3" i="3"/>
  <c r="A3" i="3"/>
  <c r="M2" i="3"/>
  <c r="L2" i="3"/>
  <c r="K2" i="3"/>
  <c r="J2" i="3"/>
  <c r="I2" i="3"/>
  <c r="H2" i="3"/>
  <c r="G2" i="3"/>
  <c r="F2" i="3"/>
  <c r="E2" i="3"/>
  <c r="D2" i="3"/>
  <c r="C2" i="3"/>
  <c r="B2" i="3"/>
  <c r="A2" i="3"/>
  <c r="M1" i="3"/>
  <c r="L1" i="3"/>
  <c r="K1" i="3"/>
  <c r="J1" i="3"/>
  <c r="I1" i="3"/>
  <c r="H1" i="3"/>
  <c r="G1" i="3"/>
  <c r="F1" i="3"/>
  <c r="E1" i="3"/>
  <c r="D1" i="3"/>
  <c r="C1" i="3"/>
  <c r="B1" i="3"/>
  <c r="A1" i="3"/>
  <c r="J300" i="2"/>
  <c r="J298" i="2"/>
  <c r="E297" i="2"/>
  <c r="D297" i="2"/>
  <c r="C297" i="2"/>
  <c r="B297" i="2"/>
  <c r="H296" i="2"/>
  <c r="I296" i="2" s="1"/>
  <c r="F296" i="2"/>
  <c r="F297" i="2" s="1"/>
  <c r="I295" i="2"/>
  <c r="H295" i="2"/>
  <c r="G295" i="2"/>
  <c r="G297" i="2" s="1"/>
  <c r="F295" i="2"/>
  <c r="J294" i="2"/>
  <c r="G294" i="2"/>
  <c r="J293" i="2"/>
  <c r="G293" i="2"/>
  <c r="H292" i="2"/>
  <c r="G292" i="2"/>
  <c r="F292" i="2"/>
  <c r="J291" i="2"/>
  <c r="G291" i="2"/>
  <c r="J290" i="2"/>
  <c r="J289" i="2"/>
  <c r="F288" i="2"/>
  <c r="E288" i="2"/>
  <c r="B288" i="2"/>
  <c r="J287" i="2"/>
  <c r="G287" i="2"/>
  <c r="J286" i="2"/>
  <c r="I286" i="2"/>
  <c r="H286" i="2"/>
  <c r="D286" i="2"/>
  <c r="D288" i="2" s="1"/>
  <c r="C286" i="2"/>
  <c r="J285" i="2"/>
  <c r="I285" i="2"/>
  <c r="H285" i="2"/>
  <c r="G285" i="2"/>
  <c r="C285" i="2"/>
  <c r="C288" i="2" s="1"/>
  <c r="J284" i="2"/>
  <c r="C284" i="2"/>
  <c r="J283" i="2"/>
  <c r="H283" i="2"/>
  <c r="G283" i="2"/>
  <c r="G288" i="2" s="1"/>
  <c r="F283" i="2"/>
  <c r="J282" i="2"/>
  <c r="J281" i="2"/>
  <c r="G280" i="2"/>
  <c r="D280" i="2"/>
  <c r="J279" i="2"/>
  <c r="H279" i="2"/>
  <c r="I279" i="2" s="1"/>
  <c r="G279" i="2"/>
  <c r="F279" i="2"/>
  <c r="E279" i="2"/>
  <c r="D279" i="2"/>
  <c r="C279" i="2"/>
  <c r="J278" i="2"/>
  <c r="I278" i="2"/>
  <c r="G278" i="2"/>
  <c r="J277" i="2"/>
  <c r="H277" i="2"/>
  <c r="I277" i="2" s="1"/>
  <c r="G277" i="2"/>
  <c r="F277" i="2"/>
  <c r="E277" i="2"/>
  <c r="D277" i="2"/>
  <c r="C277" i="2"/>
  <c r="J276" i="2"/>
  <c r="H276" i="2"/>
  <c r="G276" i="2"/>
  <c r="F276" i="2"/>
  <c r="F280" i="2" s="1"/>
  <c r="E276" i="2"/>
  <c r="E280" i="2" s="1"/>
  <c r="D276" i="2"/>
  <c r="C276" i="2"/>
  <c r="C280" i="2" s="1"/>
  <c r="B276" i="2"/>
  <c r="J275" i="2"/>
  <c r="B275" i="2"/>
  <c r="B280" i="2" s="1"/>
  <c r="J274" i="2"/>
  <c r="H272" i="2"/>
  <c r="I272" i="2" s="1"/>
  <c r="G272" i="2"/>
  <c r="F272" i="2"/>
  <c r="E272" i="2"/>
  <c r="D272" i="2"/>
  <c r="C272" i="2"/>
  <c r="B272" i="2"/>
  <c r="I271" i="2"/>
  <c r="F271" i="2"/>
  <c r="J270" i="2"/>
  <c r="E270" i="2"/>
  <c r="D270" i="2"/>
  <c r="C270" i="2"/>
  <c r="J269" i="2"/>
  <c r="G269" i="2"/>
  <c r="E269" i="2"/>
  <c r="D269" i="2"/>
  <c r="C269" i="2"/>
  <c r="B269" i="2"/>
  <c r="J268" i="2"/>
  <c r="I268" i="2"/>
  <c r="H268" i="2"/>
  <c r="F268" i="2"/>
  <c r="D268" i="2"/>
  <c r="C268" i="2"/>
  <c r="B268" i="2"/>
  <c r="J267" i="2"/>
  <c r="G267" i="2"/>
  <c r="F267" i="2"/>
  <c r="E267" i="2"/>
  <c r="E271" i="2" s="1"/>
  <c r="D267" i="2"/>
  <c r="C267" i="2"/>
  <c r="B267" i="2"/>
  <c r="H266" i="2"/>
  <c r="I266" i="2" s="1"/>
  <c r="G266" i="2"/>
  <c r="F266" i="2"/>
  <c r="E266" i="2"/>
  <c r="D266" i="2"/>
  <c r="C266" i="2"/>
  <c r="B266" i="2"/>
  <c r="J265" i="2"/>
  <c r="H265" i="2"/>
  <c r="I265" i="2" s="1"/>
  <c r="G265" i="2"/>
  <c r="E265" i="2"/>
  <c r="D265" i="2"/>
  <c r="B265" i="2"/>
  <c r="J264" i="2"/>
  <c r="I264" i="2"/>
  <c r="H264" i="2"/>
  <c r="H271" i="2" s="1"/>
  <c r="G264" i="2"/>
  <c r="F264" i="2"/>
  <c r="E264" i="2"/>
  <c r="D264" i="2"/>
  <c r="D271" i="2" s="1"/>
  <c r="J263" i="2"/>
  <c r="G262" i="2"/>
  <c r="D262" i="2"/>
  <c r="B262" i="2"/>
  <c r="J261" i="2"/>
  <c r="H261" i="2"/>
  <c r="I261" i="2" s="1"/>
  <c r="F261" i="2"/>
  <c r="E261" i="2"/>
  <c r="J260" i="2"/>
  <c r="H260" i="2"/>
  <c r="I260" i="2" s="1"/>
  <c r="G260" i="2"/>
  <c r="F260" i="2"/>
  <c r="E260" i="2"/>
  <c r="D260" i="2"/>
  <c r="C260" i="2"/>
  <c r="B260" i="2"/>
  <c r="I259" i="2"/>
  <c r="H259" i="2"/>
  <c r="G259" i="2"/>
  <c r="F259" i="2"/>
  <c r="F262" i="2" s="1"/>
  <c r="E259" i="2"/>
  <c r="E262" i="2" s="1"/>
  <c r="D259" i="2"/>
  <c r="C259" i="2"/>
  <c r="B259" i="2"/>
  <c r="J258" i="2"/>
  <c r="H258" i="2"/>
  <c r="I258" i="2" s="1"/>
  <c r="I262" i="2" s="1"/>
  <c r="G258" i="2"/>
  <c r="D258" i="2"/>
  <c r="C258" i="2"/>
  <c r="J257" i="2"/>
  <c r="D257" i="2"/>
  <c r="C257" i="2"/>
  <c r="C262" i="2" s="1"/>
  <c r="J256" i="2"/>
  <c r="D255" i="2"/>
  <c r="B255" i="2"/>
  <c r="J254" i="2"/>
  <c r="J253" i="2"/>
  <c r="D253" i="2"/>
  <c r="J252" i="2"/>
  <c r="H252" i="2"/>
  <c r="I252" i="2" s="1"/>
  <c r="G252" i="2"/>
  <c r="F252" i="2"/>
  <c r="E252" i="2"/>
  <c r="J251" i="2"/>
  <c r="G251" i="2"/>
  <c r="J250" i="2"/>
  <c r="J249" i="2"/>
  <c r="G249" i="2"/>
  <c r="E249" i="2"/>
  <c r="D249" i="2"/>
  <c r="C249" i="2"/>
  <c r="J248" i="2"/>
  <c r="H248" i="2"/>
  <c r="G248" i="2"/>
  <c r="F248" i="2"/>
  <c r="F255" i="2" s="1"/>
  <c r="C248" i="2"/>
  <c r="C255" i="2" s="1"/>
  <c r="J247" i="2"/>
  <c r="G247" i="2"/>
  <c r="G255" i="2" s="1"/>
  <c r="E247" i="2"/>
  <c r="E255" i="2" s="1"/>
  <c r="J246" i="2"/>
  <c r="H245" i="2"/>
  <c r="E245" i="2"/>
  <c r="E273" i="2" s="1"/>
  <c r="J244" i="2"/>
  <c r="E244" i="2"/>
  <c r="D244" i="2"/>
  <c r="C244" i="2"/>
  <c r="J243" i="2"/>
  <c r="I243" i="2"/>
  <c r="H243" i="2"/>
  <c r="G243" i="2"/>
  <c r="G245" i="2" s="1"/>
  <c r="F243" i="2"/>
  <c r="E243" i="2"/>
  <c r="D243" i="2"/>
  <c r="C243" i="2"/>
  <c r="J242" i="2"/>
  <c r="I242" i="2"/>
  <c r="H242" i="2"/>
  <c r="C242" i="2"/>
  <c r="J241" i="2"/>
  <c r="I241" i="2"/>
  <c r="I245" i="2" s="1"/>
  <c r="H241" i="2"/>
  <c r="F241" i="2"/>
  <c r="F245" i="2" s="1"/>
  <c r="E241" i="2"/>
  <c r="D241" i="2"/>
  <c r="D245" i="2" s="1"/>
  <c r="D273" i="2" s="1"/>
  <c r="C241" i="2"/>
  <c r="C245" i="2" s="1"/>
  <c r="B241" i="2"/>
  <c r="J240" i="2"/>
  <c r="B240" i="2"/>
  <c r="B245" i="2" s="1"/>
  <c r="J239" i="2"/>
  <c r="H239" i="2"/>
  <c r="F239" i="2"/>
  <c r="B239" i="2"/>
  <c r="J238" i="2"/>
  <c r="J236" i="2"/>
  <c r="I236" i="2"/>
  <c r="F236" i="2"/>
  <c r="D236" i="2"/>
  <c r="H235" i="2"/>
  <c r="E235" i="2"/>
  <c r="D235" i="2"/>
  <c r="C235" i="2"/>
  <c r="B235" i="2"/>
  <c r="J234" i="2"/>
  <c r="I234" i="2"/>
  <c r="I235" i="2" s="1"/>
  <c r="F234" i="2"/>
  <c r="F235" i="2" s="1"/>
  <c r="E234" i="2"/>
  <c r="J233" i="2"/>
  <c r="E233" i="2"/>
  <c r="J232" i="2"/>
  <c r="F232" i="2"/>
  <c r="E232" i="2"/>
  <c r="C232" i="2"/>
  <c r="H231" i="2"/>
  <c r="G231" i="2"/>
  <c r="E231" i="2"/>
  <c r="D231" i="2"/>
  <c r="C231" i="2"/>
  <c r="B231" i="2"/>
  <c r="I230" i="2"/>
  <c r="I231" i="2" s="1"/>
  <c r="H230" i="2"/>
  <c r="F230" i="2"/>
  <c r="F231" i="2" s="1"/>
  <c r="J229" i="2"/>
  <c r="I229" i="2"/>
  <c r="H229" i="2"/>
  <c r="G229" i="2"/>
  <c r="F229" i="2"/>
  <c r="D229" i="2"/>
  <c r="C229" i="2"/>
  <c r="J228" i="2"/>
  <c r="B227" i="2"/>
  <c r="J226" i="2"/>
  <c r="H226" i="2"/>
  <c r="H227" i="2" s="1"/>
  <c r="G226" i="2"/>
  <c r="F226" i="2"/>
  <c r="J225" i="2"/>
  <c r="G225" i="2"/>
  <c r="J224" i="2"/>
  <c r="G224" i="2"/>
  <c r="J223" i="2"/>
  <c r="G223" i="2"/>
  <c r="G227" i="2" s="1"/>
  <c r="J222" i="2"/>
  <c r="I222" i="2"/>
  <c r="H222" i="2"/>
  <c r="F222" i="2"/>
  <c r="F227" i="2" s="1"/>
  <c r="E222" i="2"/>
  <c r="E227" i="2" s="1"/>
  <c r="D222" i="2"/>
  <c r="D227" i="2" s="1"/>
  <c r="C222" i="2"/>
  <c r="C227" i="2" s="1"/>
  <c r="B222" i="2"/>
  <c r="I221" i="2"/>
  <c r="H221" i="2"/>
  <c r="H237" i="2" s="1"/>
  <c r="G221" i="2"/>
  <c r="F221" i="2"/>
  <c r="F237" i="2" s="1"/>
  <c r="E221" i="2"/>
  <c r="D221" i="2"/>
  <c r="D237" i="2" s="1"/>
  <c r="C221" i="2"/>
  <c r="C237" i="2" s="1"/>
  <c r="B221" i="2"/>
  <c r="J220" i="2"/>
  <c r="J219" i="2"/>
  <c r="B219" i="2"/>
  <c r="J218" i="2"/>
  <c r="C217" i="2"/>
  <c r="J216" i="2"/>
  <c r="H215" i="2"/>
  <c r="E215" i="2"/>
  <c r="D215" i="2"/>
  <c r="C215" i="2"/>
  <c r="B215" i="2"/>
  <c r="B217" i="2" s="1"/>
  <c r="G214" i="2"/>
  <c r="G213" i="2"/>
  <c r="G212" i="2"/>
  <c r="I211" i="2"/>
  <c r="I215" i="2" s="1"/>
  <c r="H211" i="2"/>
  <c r="G211" i="2"/>
  <c r="F211" i="2"/>
  <c r="F215" i="2" s="1"/>
  <c r="E211" i="2"/>
  <c r="K210" i="2"/>
  <c r="J210" i="2"/>
  <c r="G210" i="2"/>
  <c r="G215" i="2" s="1"/>
  <c r="J209" i="2"/>
  <c r="I208" i="2"/>
  <c r="F208" i="2"/>
  <c r="F217" i="2" s="1"/>
  <c r="E208" i="2"/>
  <c r="C208" i="2"/>
  <c r="B208" i="2"/>
  <c r="J207" i="2"/>
  <c r="I207" i="2"/>
  <c r="H207" i="2"/>
  <c r="G207" i="2"/>
  <c r="F207" i="2"/>
  <c r="J206" i="2"/>
  <c r="I206" i="2"/>
  <c r="H206" i="2"/>
  <c r="H208" i="2" s="1"/>
  <c r="H217" i="2" s="1"/>
  <c r="G206" i="2"/>
  <c r="F206" i="2"/>
  <c r="E206" i="2"/>
  <c r="I205" i="2"/>
  <c r="G205" i="2"/>
  <c r="G208" i="2" s="1"/>
  <c r="F205" i="2"/>
  <c r="E205" i="2"/>
  <c r="D205" i="2"/>
  <c r="D208" i="2" s="1"/>
  <c r="D217" i="2" s="1"/>
  <c r="C205" i="2"/>
  <c r="B205" i="2"/>
  <c r="J204" i="2"/>
  <c r="G203" i="2"/>
  <c r="J202" i="2"/>
  <c r="J201" i="2"/>
  <c r="F200" i="2"/>
  <c r="B200" i="2"/>
  <c r="J199" i="2"/>
  <c r="F199" i="2"/>
  <c r="E199" i="2"/>
  <c r="J198" i="2"/>
  <c r="C198" i="2"/>
  <c r="J197" i="2"/>
  <c r="H197" i="2"/>
  <c r="I197" i="2" s="1"/>
  <c r="G197" i="2"/>
  <c r="F197" i="2"/>
  <c r="E197" i="2"/>
  <c r="D197" i="2"/>
  <c r="C197" i="2"/>
  <c r="B197" i="2"/>
  <c r="G196" i="2"/>
  <c r="G200" i="2" s="1"/>
  <c r="F196" i="2"/>
  <c r="E196" i="2"/>
  <c r="D196" i="2"/>
  <c r="C196" i="2"/>
  <c r="B196" i="2"/>
  <c r="J195" i="2"/>
  <c r="H195" i="2"/>
  <c r="G195" i="2"/>
  <c r="F195" i="2"/>
  <c r="E195" i="2"/>
  <c r="E200" i="2" s="1"/>
  <c r="D195" i="2"/>
  <c r="D200" i="2" s="1"/>
  <c r="C195" i="2"/>
  <c r="B195" i="2"/>
  <c r="J194" i="2"/>
  <c r="C194" i="2"/>
  <c r="C200" i="2" s="1"/>
  <c r="B194" i="2"/>
  <c r="J193" i="2"/>
  <c r="B192" i="2"/>
  <c r="J191" i="2"/>
  <c r="H191" i="2"/>
  <c r="I191" i="2" s="1"/>
  <c r="G191" i="2"/>
  <c r="F191" i="2"/>
  <c r="E191" i="2"/>
  <c r="F190" i="2"/>
  <c r="E190" i="2"/>
  <c r="D190" i="2"/>
  <c r="J189" i="2"/>
  <c r="I189" i="2"/>
  <c r="F189" i="2"/>
  <c r="H188" i="2"/>
  <c r="G188" i="2"/>
  <c r="F188" i="2"/>
  <c r="I187" i="2"/>
  <c r="H187" i="2"/>
  <c r="G187" i="2"/>
  <c r="G190" i="2" s="1"/>
  <c r="G192" i="2" s="1"/>
  <c r="F187" i="2"/>
  <c r="J186" i="2"/>
  <c r="F186" i="2"/>
  <c r="E186" i="2"/>
  <c r="D186" i="2"/>
  <c r="C186" i="2"/>
  <c r="C190" i="2" s="1"/>
  <c r="B186" i="2"/>
  <c r="B190" i="2" s="1"/>
  <c r="H185" i="2"/>
  <c r="I185" i="2" s="1"/>
  <c r="G185" i="2"/>
  <c r="F185" i="2"/>
  <c r="E185" i="2"/>
  <c r="E192" i="2" s="1"/>
  <c r="D185" i="2"/>
  <c r="D192" i="2" s="1"/>
  <c r="C185" i="2"/>
  <c r="B185" i="2"/>
  <c r="J184" i="2"/>
  <c r="I184" i="2"/>
  <c r="H184" i="2"/>
  <c r="G184" i="2"/>
  <c r="F184" i="2"/>
  <c r="F192" i="2" s="1"/>
  <c r="J183" i="2"/>
  <c r="E183" i="2"/>
  <c r="J182" i="2"/>
  <c r="F181" i="2"/>
  <c r="J180" i="2"/>
  <c r="G180" i="2"/>
  <c r="I179" i="2"/>
  <c r="H179" i="2"/>
  <c r="G179" i="2"/>
  <c r="F179" i="2"/>
  <c r="E179" i="2"/>
  <c r="D179" i="2"/>
  <c r="C179" i="2"/>
  <c r="B179" i="2"/>
  <c r="J178" i="2"/>
  <c r="I178" i="2"/>
  <c r="H178" i="2"/>
  <c r="G178" i="2"/>
  <c r="F178" i="2"/>
  <c r="E178" i="2"/>
  <c r="D178" i="2"/>
  <c r="C178" i="2"/>
  <c r="B178" i="2"/>
  <c r="H177" i="2"/>
  <c r="I177" i="2" s="1"/>
  <c r="G177" i="2"/>
  <c r="F177" i="2"/>
  <c r="E177" i="2"/>
  <c r="D177" i="2"/>
  <c r="C177" i="2"/>
  <c r="B177" i="2"/>
  <c r="G176" i="2"/>
  <c r="D176" i="2"/>
  <c r="J175" i="2"/>
  <c r="H175" i="2"/>
  <c r="I175" i="2" s="1"/>
  <c r="G175" i="2"/>
  <c r="E175" i="2"/>
  <c r="D175" i="2"/>
  <c r="C175" i="2"/>
  <c r="C176" i="2" s="1"/>
  <c r="B175" i="2"/>
  <c r="J174" i="2"/>
  <c r="H174" i="2"/>
  <c r="G174" i="2"/>
  <c r="F174" i="2"/>
  <c r="F176" i="2" s="1"/>
  <c r="E174" i="2"/>
  <c r="E176" i="2" s="1"/>
  <c r="D174" i="2"/>
  <c r="C174" i="2"/>
  <c r="B174" i="2"/>
  <c r="B176" i="2" s="1"/>
  <c r="J173" i="2"/>
  <c r="I172" i="2"/>
  <c r="H172" i="2"/>
  <c r="G172" i="2"/>
  <c r="F172" i="2"/>
  <c r="E172" i="2"/>
  <c r="D172" i="2"/>
  <c r="C172" i="2"/>
  <c r="B172" i="2"/>
  <c r="H171" i="2"/>
  <c r="G171" i="2"/>
  <c r="C171" i="2"/>
  <c r="J170" i="2"/>
  <c r="I170" i="2"/>
  <c r="H170" i="2"/>
  <c r="F170" i="2"/>
  <c r="E170" i="2"/>
  <c r="D170" i="2"/>
  <c r="C170" i="2"/>
  <c r="B170" i="2"/>
  <c r="J169" i="2"/>
  <c r="I169" i="2"/>
  <c r="I171" i="2" s="1"/>
  <c r="H169" i="2"/>
  <c r="F169" i="2"/>
  <c r="F171" i="2" s="1"/>
  <c r="E169" i="2"/>
  <c r="E171" i="2" s="1"/>
  <c r="D169" i="2"/>
  <c r="D171" i="2" s="1"/>
  <c r="C169" i="2"/>
  <c r="B169" i="2"/>
  <c r="B171" i="2" s="1"/>
  <c r="J168" i="2"/>
  <c r="I167" i="2"/>
  <c r="H167" i="2"/>
  <c r="G167" i="2"/>
  <c r="F167" i="2"/>
  <c r="E167" i="2"/>
  <c r="D167" i="2"/>
  <c r="C167" i="2"/>
  <c r="B167" i="2"/>
  <c r="J166" i="2"/>
  <c r="H166" i="2"/>
  <c r="I166" i="2" s="1"/>
  <c r="F166" i="2"/>
  <c r="E166" i="2"/>
  <c r="D166" i="2"/>
  <c r="B166" i="2"/>
  <c r="E165" i="2"/>
  <c r="B165" i="2"/>
  <c r="J164" i="2"/>
  <c r="H164" i="2"/>
  <c r="I164" i="2" s="1"/>
  <c r="G164" i="2"/>
  <c r="F164" i="2"/>
  <c r="J163" i="2"/>
  <c r="H163" i="2"/>
  <c r="I163" i="2" s="1"/>
  <c r="G163" i="2"/>
  <c r="G165" i="2" s="1"/>
  <c r="F163" i="2"/>
  <c r="E163" i="2"/>
  <c r="D163" i="2"/>
  <c r="C163" i="2"/>
  <c r="B163" i="2"/>
  <c r="J162" i="2"/>
  <c r="I162" i="2"/>
  <c r="H162" i="2"/>
  <c r="H165" i="2" s="1"/>
  <c r="G162" i="2"/>
  <c r="F162" i="2"/>
  <c r="F165" i="2" s="1"/>
  <c r="E162" i="2"/>
  <c r="D162" i="2"/>
  <c r="C162" i="2"/>
  <c r="B162" i="2"/>
  <c r="J161" i="2"/>
  <c r="D161" i="2"/>
  <c r="B161" i="2"/>
  <c r="J160" i="2"/>
  <c r="H160" i="2"/>
  <c r="I160" i="2" s="1"/>
  <c r="G160" i="2"/>
  <c r="F160" i="2"/>
  <c r="E160" i="2"/>
  <c r="D160" i="2"/>
  <c r="C160" i="2"/>
  <c r="B160" i="2"/>
  <c r="J159" i="2"/>
  <c r="I159" i="2"/>
  <c r="H159" i="2"/>
  <c r="F159" i="2"/>
  <c r="E159" i="2"/>
  <c r="D159" i="2"/>
  <c r="C159" i="2"/>
  <c r="B159" i="2"/>
  <c r="I158" i="2"/>
  <c r="H158" i="2"/>
  <c r="G158" i="2"/>
  <c r="F158" i="2"/>
  <c r="E158" i="2"/>
  <c r="D158" i="2"/>
  <c r="C158" i="2"/>
  <c r="B158" i="2"/>
  <c r="J157" i="2"/>
  <c r="J156" i="2"/>
  <c r="C156" i="2"/>
  <c r="J155" i="2"/>
  <c r="J154" i="2"/>
  <c r="J153" i="2"/>
  <c r="J152" i="2"/>
  <c r="J151" i="2"/>
  <c r="H149" i="2"/>
  <c r="G149" i="2"/>
  <c r="E149" i="2"/>
  <c r="J148" i="2"/>
  <c r="D148" i="2"/>
  <c r="D149" i="2" s="1"/>
  <c r="H147" i="2"/>
  <c r="I147" i="2" s="1"/>
  <c r="I149" i="2" s="1"/>
  <c r="G147" i="2"/>
  <c r="F147" i="2"/>
  <c r="F149" i="2" s="1"/>
  <c r="E147" i="2"/>
  <c r="D147" i="2"/>
  <c r="C147" i="2"/>
  <c r="C149" i="2" s="1"/>
  <c r="B147" i="2"/>
  <c r="B149" i="2" s="1"/>
  <c r="J146" i="2"/>
  <c r="F146" i="2"/>
  <c r="E146" i="2"/>
  <c r="D146" i="2"/>
  <c r="J145" i="2"/>
  <c r="F145" i="2"/>
  <c r="E145" i="2"/>
  <c r="J144" i="2"/>
  <c r="H142" i="2"/>
  <c r="I142" i="2" s="1"/>
  <c r="G142" i="2"/>
  <c r="F142" i="2"/>
  <c r="E142" i="2"/>
  <c r="D142" i="2"/>
  <c r="C142" i="2"/>
  <c r="B142" i="2"/>
  <c r="E141" i="2"/>
  <c r="D141" i="2"/>
  <c r="C141" i="2"/>
  <c r="B141" i="2"/>
  <c r="J140" i="2"/>
  <c r="I140" i="2"/>
  <c r="J139" i="2"/>
  <c r="I139" i="2"/>
  <c r="J138" i="2"/>
  <c r="I138" i="2"/>
  <c r="H138" i="2"/>
  <c r="G138" i="2"/>
  <c r="F138" i="2"/>
  <c r="E138" i="2"/>
  <c r="D138" i="2"/>
  <c r="C138" i="2"/>
  <c r="B138" i="2"/>
  <c r="J137" i="2"/>
  <c r="D137" i="2"/>
  <c r="C137" i="2"/>
  <c r="B137" i="2"/>
  <c r="G136" i="2"/>
  <c r="D136" i="2"/>
  <c r="H135" i="2"/>
  <c r="I135" i="2" s="1"/>
  <c r="G135" i="2"/>
  <c r="F135" i="2"/>
  <c r="E135" i="2"/>
  <c r="D135" i="2"/>
  <c r="J134" i="2"/>
  <c r="I134" i="2"/>
  <c r="H134" i="2"/>
  <c r="F134" i="2"/>
  <c r="H133" i="2"/>
  <c r="I133" i="2" s="1"/>
  <c r="G133" i="2"/>
  <c r="F133" i="2"/>
  <c r="E133" i="2"/>
  <c r="D133" i="2"/>
  <c r="C133" i="2"/>
  <c r="C136" i="2" s="1"/>
  <c r="B133" i="2"/>
  <c r="I132" i="2"/>
  <c r="H132" i="2"/>
  <c r="G132" i="2"/>
  <c r="F132" i="2"/>
  <c r="I131" i="2"/>
  <c r="H131" i="2"/>
  <c r="G131" i="2"/>
  <c r="F131" i="2"/>
  <c r="H130" i="2"/>
  <c r="I130" i="2" s="1"/>
  <c r="G130" i="2"/>
  <c r="F130" i="2"/>
  <c r="H129" i="2"/>
  <c r="G129" i="2"/>
  <c r="F129" i="2"/>
  <c r="J128" i="2"/>
  <c r="F128" i="2"/>
  <c r="E128" i="2"/>
  <c r="E136" i="2" s="1"/>
  <c r="D128" i="2"/>
  <c r="C128" i="2"/>
  <c r="B128" i="2"/>
  <c r="B136" i="2" s="1"/>
  <c r="J127" i="2"/>
  <c r="H127" i="2"/>
  <c r="G127" i="2"/>
  <c r="F127" i="2"/>
  <c r="E127" i="2"/>
  <c r="D127" i="2"/>
  <c r="C127" i="2"/>
  <c r="B127" i="2"/>
  <c r="H126" i="2"/>
  <c r="F126" i="2"/>
  <c r="C126" i="2"/>
  <c r="B126" i="2"/>
  <c r="J125" i="2"/>
  <c r="I125" i="2"/>
  <c r="I126" i="2" s="1"/>
  <c r="H125" i="2"/>
  <c r="I124" i="2"/>
  <c r="H124" i="2"/>
  <c r="G124" i="2"/>
  <c r="G126" i="2" s="1"/>
  <c r="F124" i="2"/>
  <c r="E124" i="2"/>
  <c r="E126" i="2" s="1"/>
  <c r="D124" i="2"/>
  <c r="D126" i="2" s="1"/>
  <c r="J123" i="2"/>
  <c r="C123" i="2"/>
  <c r="H122" i="2"/>
  <c r="C122" i="2"/>
  <c r="J121" i="2"/>
  <c r="I121" i="2"/>
  <c r="H121" i="2"/>
  <c r="G121" i="2"/>
  <c r="F121" i="2"/>
  <c r="E121" i="2"/>
  <c r="D121" i="2"/>
  <c r="D122" i="2" s="1"/>
  <c r="C121" i="2"/>
  <c r="B121" i="2"/>
  <c r="J120" i="2"/>
  <c r="I120" i="2"/>
  <c r="H120" i="2"/>
  <c r="G120" i="2"/>
  <c r="G122" i="2" s="1"/>
  <c r="F120" i="2"/>
  <c r="F122" i="2" s="1"/>
  <c r="E120" i="2"/>
  <c r="E122" i="2" s="1"/>
  <c r="D120" i="2"/>
  <c r="C120" i="2"/>
  <c r="B120" i="2"/>
  <c r="J119" i="2"/>
  <c r="H119" i="2"/>
  <c r="I119" i="2" s="1"/>
  <c r="I122" i="2" s="1"/>
  <c r="B119" i="2"/>
  <c r="B122" i="2" s="1"/>
  <c r="G118" i="2"/>
  <c r="B118" i="2"/>
  <c r="J117" i="2"/>
  <c r="G117" i="2"/>
  <c r="F117" i="2"/>
  <c r="F118" i="2" s="1"/>
  <c r="E117" i="2"/>
  <c r="E118" i="2" s="1"/>
  <c r="J116" i="2"/>
  <c r="I116" i="2"/>
  <c r="I118" i="2" s="1"/>
  <c r="H116" i="2"/>
  <c r="H118" i="2" s="1"/>
  <c r="G116" i="2"/>
  <c r="F116" i="2"/>
  <c r="E116" i="2"/>
  <c r="D116" i="2"/>
  <c r="D118" i="2" s="1"/>
  <c r="C116" i="2"/>
  <c r="C118" i="2" s="1"/>
  <c r="B116" i="2"/>
  <c r="J115" i="2"/>
  <c r="I114" i="2"/>
  <c r="H114" i="2"/>
  <c r="G114" i="2"/>
  <c r="F114" i="2"/>
  <c r="E114" i="2"/>
  <c r="D114" i="2"/>
  <c r="C114" i="2"/>
  <c r="B114" i="2"/>
  <c r="D113" i="2"/>
  <c r="B113" i="2"/>
  <c r="H112" i="2"/>
  <c r="E112" i="2"/>
  <c r="E113" i="2" s="1"/>
  <c r="D112" i="2"/>
  <c r="C112" i="2"/>
  <c r="C113" i="2" s="1"/>
  <c r="B112" i="2"/>
  <c r="J111" i="2"/>
  <c r="I111" i="2"/>
  <c r="I112" i="2" s="1"/>
  <c r="H111" i="2"/>
  <c r="G111" i="2"/>
  <c r="F111" i="2"/>
  <c r="F112" i="2" s="1"/>
  <c r="F113" i="2" s="1"/>
  <c r="J110" i="2"/>
  <c r="G110" i="2"/>
  <c r="G112" i="2" s="1"/>
  <c r="G113" i="2" s="1"/>
  <c r="J109" i="2"/>
  <c r="J108" i="2"/>
  <c r="I108" i="2"/>
  <c r="I113" i="2" s="1"/>
  <c r="H108" i="2"/>
  <c r="B108" i="2"/>
  <c r="J107" i="2"/>
  <c r="H107" i="2"/>
  <c r="I107" i="2" s="1"/>
  <c r="G107" i="2"/>
  <c r="F107" i="2"/>
  <c r="E107" i="2"/>
  <c r="D107" i="2"/>
  <c r="C107" i="2"/>
  <c r="B107" i="2"/>
  <c r="I106" i="2"/>
  <c r="H106" i="2"/>
  <c r="G106" i="2"/>
  <c r="F106" i="2"/>
  <c r="E106" i="2"/>
  <c r="D106" i="2"/>
  <c r="C106" i="2"/>
  <c r="B106" i="2"/>
  <c r="J105" i="2"/>
  <c r="H105" i="2"/>
  <c r="G105" i="2"/>
  <c r="F105" i="2"/>
  <c r="E105" i="2"/>
  <c r="D105" i="2"/>
  <c r="D143" i="2" s="1"/>
  <c r="C105" i="2"/>
  <c r="B105" i="2"/>
  <c r="J104" i="2"/>
  <c r="F104" i="2"/>
  <c r="E104" i="2"/>
  <c r="B104" i="2"/>
  <c r="J103" i="2"/>
  <c r="J101" i="2"/>
  <c r="I101" i="2"/>
  <c r="H101" i="2"/>
  <c r="G101" i="2"/>
  <c r="F101" i="2"/>
  <c r="H100" i="2"/>
  <c r="I100" i="2" s="1"/>
  <c r="G100" i="2"/>
  <c r="F100" i="2"/>
  <c r="E100" i="2"/>
  <c r="H99" i="2"/>
  <c r="I99" i="2" s="1"/>
  <c r="G99" i="2"/>
  <c r="F99" i="2"/>
  <c r="E99" i="2"/>
  <c r="D99" i="2"/>
  <c r="C99" i="2"/>
  <c r="B99" i="2"/>
  <c r="I98" i="2"/>
  <c r="H98" i="2"/>
  <c r="G98" i="2"/>
  <c r="F98" i="2"/>
  <c r="E98" i="2"/>
  <c r="D98" i="2"/>
  <c r="C98" i="2"/>
  <c r="B98" i="2"/>
  <c r="J97" i="2"/>
  <c r="H97" i="2"/>
  <c r="F97" i="2"/>
  <c r="E97" i="2"/>
  <c r="D97" i="2"/>
  <c r="C97" i="2"/>
  <c r="B97" i="2"/>
  <c r="J96" i="2"/>
  <c r="J95" i="2"/>
  <c r="J94" i="2"/>
  <c r="H93" i="2"/>
  <c r="E93" i="2"/>
  <c r="J92" i="2"/>
  <c r="G92" i="2"/>
  <c r="E92" i="2"/>
  <c r="D92" i="2"/>
  <c r="C92" i="2"/>
  <c r="B92" i="2"/>
  <c r="B93" i="2" s="1"/>
  <c r="I91" i="2"/>
  <c r="I93" i="2" s="1"/>
  <c r="H91" i="2"/>
  <c r="G91" i="2"/>
  <c r="F91" i="2"/>
  <c r="F93" i="2" s="1"/>
  <c r="E91" i="2"/>
  <c r="D91" i="2"/>
  <c r="D93" i="2" s="1"/>
  <c r="C91" i="2"/>
  <c r="C93" i="2" s="1"/>
  <c r="B91" i="2"/>
  <c r="I90" i="2"/>
  <c r="H90" i="2"/>
  <c r="E90" i="2"/>
  <c r="B90" i="2"/>
  <c r="J89" i="2"/>
  <c r="J88" i="2"/>
  <c r="G88" i="2"/>
  <c r="G90" i="2" s="1"/>
  <c r="F88" i="2"/>
  <c r="F90" i="2" s="1"/>
  <c r="E88" i="2"/>
  <c r="D88" i="2"/>
  <c r="D90" i="2" s="1"/>
  <c r="B88" i="2"/>
  <c r="J87" i="2"/>
  <c r="C87" i="2"/>
  <c r="C90" i="2" s="1"/>
  <c r="J86" i="2"/>
  <c r="N84" i="2"/>
  <c r="I84" i="2"/>
  <c r="H84" i="2"/>
  <c r="G84" i="2"/>
  <c r="F84" i="2"/>
  <c r="E84" i="2"/>
  <c r="N83" i="2"/>
  <c r="H83" i="2"/>
  <c r="I83" i="2" s="1"/>
  <c r="G83" i="2"/>
  <c r="F83" i="2"/>
  <c r="E83" i="2"/>
  <c r="N82" i="2"/>
  <c r="H82" i="2"/>
  <c r="I82" i="2" s="1"/>
  <c r="G82" i="2"/>
  <c r="F82" i="2"/>
  <c r="E82" i="2"/>
  <c r="D82" i="2"/>
  <c r="C82" i="2"/>
  <c r="B82" i="2"/>
  <c r="N81" i="2"/>
  <c r="I81" i="2"/>
  <c r="H81" i="2"/>
  <c r="G81" i="2"/>
  <c r="F81" i="2"/>
  <c r="E81" i="2"/>
  <c r="D81" i="2"/>
  <c r="C81" i="2"/>
  <c r="B81" i="2"/>
  <c r="N80" i="2"/>
  <c r="I80" i="2"/>
  <c r="H80" i="2"/>
  <c r="G80" i="2"/>
  <c r="F80" i="2"/>
  <c r="E80" i="2"/>
  <c r="D80" i="2"/>
  <c r="C80" i="2"/>
  <c r="B80" i="2"/>
  <c r="N79" i="2"/>
  <c r="I79" i="2"/>
  <c r="H79" i="2"/>
  <c r="G79" i="2"/>
  <c r="F79" i="2"/>
  <c r="E79" i="2"/>
  <c r="D79" i="2"/>
  <c r="C79" i="2"/>
  <c r="B79" i="2"/>
  <c r="N78" i="2"/>
  <c r="H78" i="2"/>
  <c r="I78" i="2" s="1"/>
  <c r="G78" i="2"/>
  <c r="F78" i="2"/>
  <c r="E78" i="2"/>
  <c r="D78" i="2"/>
  <c r="C78" i="2"/>
  <c r="B78" i="2"/>
  <c r="H77" i="2"/>
  <c r="G76" i="2"/>
  <c r="E76" i="2"/>
  <c r="D76" i="2"/>
  <c r="C76" i="2"/>
  <c r="B76" i="2"/>
  <c r="N75" i="2"/>
  <c r="H75" i="2"/>
  <c r="I75" i="2" s="1"/>
  <c r="I77" i="2" s="1"/>
  <c r="G75" i="2"/>
  <c r="G77" i="2" s="1"/>
  <c r="F75" i="2"/>
  <c r="F77" i="2" s="1"/>
  <c r="E75" i="2"/>
  <c r="E77" i="2" s="1"/>
  <c r="D75" i="2"/>
  <c r="D77" i="2" s="1"/>
  <c r="C75" i="2"/>
  <c r="C77" i="2" s="1"/>
  <c r="B75" i="2"/>
  <c r="E74" i="2"/>
  <c r="E85" i="2" s="1"/>
  <c r="H73" i="2"/>
  <c r="I73" i="2" s="1"/>
  <c r="I74" i="2" s="1"/>
  <c r="G73" i="2"/>
  <c r="F73" i="2"/>
  <c r="E73" i="2"/>
  <c r="D73" i="2"/>
  <c r="C73" i="2"/>
  <c r="B73" i="2"/>
  <c r="I72" i="2"/>
  <c r="H72" i="2"/>
  <c r="H74" i="2" s="1"/>
  <c r="G72" i="2"/>
  <c r="G74" i="2" s="1"/>
  <c r="G85" i="2" s="1"/>
  <c r="F72" i="2"/>
  <c r="F74" i="2" s="1"/>
  <c r="E72" i="2"/>
  <c r="D72" i="2"/>
  <c r="D74" i="2" s="1"/>
  <c r="C72" i="2"/>
  <c r="C74" i="2" s="1"/>
  <c r="C85" i="2" s="1"/>
  <c r="B72" i="2"/>
  <c r="B74" i="2" s="1"/>
  <c r="J71" i="2"/>
  <c r="B70" i="2"/>
  <c r="J69" i="2"/>
  <c r="H69" i="2"/>
  <c r="I69" i="2" s="1"/>
  <c r="G69" i="2"/>
  <c r="F69" i="2"/>
  <c r="E69" i="2"/>
  <c r="J68" i="2"/>
  <c r="G68" i="2"/>
  <c r="J67" i="2"/>
  <c r="H67" i="2"/>
  <c r="I67" i="2" s="1"/>
  <c r="G67" i="2"/>
  <c r="J66" i="2"/>
  <c r="I66" i="2"/>
  <c r="H66" i="2"/>
  <c r="G66" i="2"/>
  <c r="F66" i="2"/>
  <c r="E66" i="2"/>
  <c r="D66" i="2"/>
  <c r="C66" i="2"/>
  <c r="B66" i="2"/>
  <c r="J65" i="2"/>
  <c r="H65" i="2"/>
  <c r="I65" i="2" s="1"/>
  <c r="G65" i="2"/>
  <c r="F65" i="2"/>
  <c r="E65" i="2"/>
  <c r="D65" i="2"/>
  <c r="C65" i="2"/>
  <c r="B65" i="2"/>
  <c r="J64" i="2"/>
  <c r="I64" i="2"/>
  <c r="H64" i="2"/>
  <c r="G64" i="2"/>
  <c r="F64" i="2"/>
  <c r="E64" i="2"/>
  <c r="D64" i="2"/>
  <c r="C64" i="2"/>
  <c r="B64" i="2"/>
  <c r="H63" i="2"/>
  <c r="G63" i="2"/>
  <c r="G70" i="2" s="1"/>
  <c r="F63" i="2"/>
  <c r="F70" i="2" s="1"/>
  <c r="E63" i="2"/>
  <c r="D63" i="2"/>
  <c r="C63" i="2"/>
  <c r="C70" i="2" s="1"/>
  <c r="B63" i="2"/>
  <c r="J62" i="2"/>
  <c r="M60" i="2"/>
  <c r="H60" i="2"/>
  <c r="G60" i="2"/>
  <c r="F60" i="2"/>
  <c r="E60" i="2"/>
  <c r="D60" i="2"/>
  <c r="C60" i="2"/>
  <c r="B60" i="2"/>
  <c r="N59" i="2"/>
  <c r="H59" i="2"/>
  <c r="G59" i="2"/>
  <c r="F59" i="2"/>
  <c r="E59" i="2"/>
  <c r="D59" i="2"/>
  <c r="C59" i="2"/>
  <c r="B59" i="2"/>
  <c r="H58" i="2"/>
  <c r="G58" i="2"/>
  <c r="F58" i="2"/>
  <c r="E58" i="2"/>
  <c r="D58" i="2"/>
  <c r="C58" i="2"/>
  <c r="B58" i="2"/>
  <c r="J57" i="2"/>
  <c r="H57" i="2"/>
  <c r="G57" i="2"/>
  <c r="F57" i="2"/>
  <c r="E57" i="2"/>
  <c r="D57" i="2"/>
  <c r="C57" i="2"/>
  <c r="B57" i="2"/>
  <c r="G56" i="2"/>
  <c r="J55" i="2"/>
  <c r="I55" i="2"/>
  <c r="H55" i="2"/>
  <c r="F55" i="2"/>
  <c r="E55" i="2"/>
  <c r="D55" i="2"/>
  <c r="C55" i="2"/>
  <c r="B55" i="2"/>
  <c r="J54" i="2"/>
  <c r="I54" i="2"/>
  <c r="H54" i="2"/>
  <c r="F54" i="2"/>
  <c r="E54" i="2"/>
  <c r="D54" i="2"/>
  <c r="C54" i="2"/>
  <c r="B54" i="2"/>
  <c r="J53" i="2"/>
  <c r="I53" i="2"/>
  <c r="H53" i="2"/>
  <c r="F53" i="2"/>
  <c r="E53" i="2"/>
  <c r="E56" i="2" s="1"/>
  <c r="D53" i="2"/>
  <c r="D56" i="2" s="1"/>
  <c r="D61" i="2" s="1"/>
  <c r="C53" i="2"/>
  <c r="B53" i="2"/>
  <c r="M52" i="2"/>
  <c r="M56" i="2" s="1"/>
  <c r="H52" i="2"/>
  <c r="H56" i="2" s="1"/>
  <c r="G52" i="2"/>
  <c r="F52" i="2"/>
  <c r="F56" i="2" s="1"/>
  <c r="E52" i="2"/>
  <c r="D52" i="2"/>
  <c r="C52" i="2"/>
  <c r="C56" i="2" s="1"/>
  <c r="B52" i="2"/>
  <c r="B56" i="2" s="1"/>
  <c r="M51" i="2"/>
  <c r="H51" i="2"/>
  <c r="H61" i="2" s="1"/>
  <c r="G51" i="2"/>
  <c r="F51" i="2"/>
  <c r="E51" i="2"/>
  <c r="D51" i="2"/>
  <c r="C51" i="2"/>
  <c r="B51" i="2"/>
  <c r="H50" i="2"/>
  <c r="G50" i="2"/>
  <c r="G61" i="2" s="1"/>
  <c r="F50" i="2"/>
  <c r="E50" i="2"/>
  <c r="E61" i="2" s="1"/>
  <c r="D50" i="2"/>
  <c r="C50" i="2"/>
  <c r="B50" i="2"/>
  <c r="J49" i="2"/>
  <c r="J48" i="2"/>
  <c r="E48" i="2"/>
  <c r="D48" i="2"/>
  <c r="C48" i="2"/>
  <c r="B48" i="2"/>
  <c r="J47" i="2"/>
  <c r="J46" i="2"/>
  <c r="J44" i="2"/>
  <c r="J41" i="2"/>
  <c r="J40" i="2"/>
  <c r="J39" i="2"/>
  <c r="H38" i="2"/>
  <c r="G38" i="2"/>
  <c r="F38" i="2"/>
  <c r="E38" i="2"/>
  <c r="D38" i="2"/>
  <c r="C38" i="2"/>
  <c r="B38" i="2"/>
  <c r="J37" i="2"/>
  <c r="G37" i="2"/>
  <c r="D36" i="2"/>
  <c r="I35" i="2"/>
  <c r="H35" i="2"/>
  <c r="G35" i="2"/>
  <c r="F35" i="2"/>
  <c r="E35" i="2"/>
  <c r="D35" i="2"/>
  <c r="C35" i="2"/>
  <c r="B35" i="2"/>
  <c r="J34" i="2"/>
  <c r="H34" i="2"/>
  <c r="I34" i="2" s="1"/>
  <c r="G34" i="2"/>
  <c r="F34" i="2"/>
  <c r="E34" i="2"/>
  <c r="D34" i="2"/>
  <c r="C34" i="2"/>
  <c r="B34" i="2"/>
  <c r="J33" i="2"/>
  <c r="D33" i="2"/>
  <c r="C33" i="2"/>
  <c r="J31" i="2"/>
  <c r="H31" i="2"/>
  <c r="I31" i="2" s="1"/>
  <c r="F31" i="2"/>
  <c r="E31" i="2"/>
  <c r="D31" i="2"/>
  <c r="J30" i="2"/>
  <c r="I30" i="2"/>
  <c r="H30" i="2"/>
  <c r="F30" i="2"/>
  <c r="J29" i="2"/>
  <c r="D29" i="2"/>
  <c r="J28" i="2"/>
  <c r="I28" i="2"/>
  <c r="H28" i="2"/>
  <c r="G28" i="2"/>
  <c r="G32" i="2" s="1"/>
  <c r="F28" i="2"/>
  <c r="E28" i="2"/>
  <c r="D28" i="2"/>
  <c r="J27" i="2"/>
  <c r="F27" i="2"/>
  <c r="E27" i="2"/>
  <c r="D27" i="2"/>
  <c r="J26" i="2"/>
  <c r="H26" i="2"/>
  <c r="I26" i="2" s="1"/>
  <c r="F26" i="2"/>
  <c r="D26" i="2"/>
  <c r="J25" i="2"/>
  <c r="D25" i="2"/>
  <c r="D32" i="2" s="1"/>
  <c r="J24" i="2"/>
  <c r="I24" i="2"/>
  <c r="I32" i="2" s="1"/>
  <c r="H24" i="2"/>
  <c r="G24" i="2"/>
  <c r="F24" i="2"/>
  <c r="F32" i="2" s="1"/>
  <c r="E24" i="2"/>
  <c r="E32" i="2" s="1"/>
  <c r="D24" i="2"/>
  <c r="J23" i="2"/>
  <c r="C23" i="2"/>
  <c r="C32" i="2" s="1"/>
  <c r="B23" i="2"/>
  <c r="B32" i="2" s="1"/>
  <c r="J22" i="2"/>
  <c r="H22" i="2"/>
  <c r="I22" i="2" s="1"/>
  <c r="C22" i="2"/>
  <c r="B22" i="2"/>
  <c r="I21" i="2"/>
  <c r="F21" i="2"/>
  <c r="E21" i="2"/>
  <c r="D21" i="2"/>
  <c r="C21" i="2"/>
  <c r="B21" i="2"/>
  <c r="J20" i="2"/>
  <c r="D20" i="2"/>
  <c r="C20" i="2"/>
  <c r="J19" i="2"/>
  <c r="D19" i="2"/>
  <c r="C19" i="2"/>
  <c r="I18" i="2"/>
  <c r="H18" i="2"/>
  <c r="G18" i="2"/>
  <c r="E18" i="2"/>
  <c r="D18" i="2"/>
  <c r="C18" i="2"/>
  <c r="B18" i="2"/>
  <c r="J17" i="2"/>
  <c r="D17" i="2"/>
  <c r="B17" i="2"/>
  <c r="J16" i="2"/>
  <c r="H16" i="2"/>
  <c r="G16" i="2"/>
  <c r="F16" i="2"/>
  <c r="E16" i="2"/>
  <c r="D16" i="2"/>
  <c r="C16" i="2"/>
  <c r="B16" i="2"/>
  <c r="J15" i="2"/>
  <c r="G15" i="2"/>
  <c r="F15" i="2"/>
  <c r="E15" i="2"/>
  <c r="D15" i="2"/>
  <c r="C15" i="2"/>
  <c r="B15" i="2"/>
  <c r="J14" i="2"/>
  <c r="F13" i="2"/>
  <c r="J12" i="2"/>
  <c r="H12" i="2"/>
  <c r="I12" i="2" s="1"/>
  <c r="G12" i="2"/>
  <c r="F12" i="2"/>
  <c r="J11" i="2"/>
  <c r="I11" i="2"/>
  <c r="H11" i="2"/>
  <c r="G11" i="2"/>
  <c r="F11" i="2"/>
  <c r="E11" i="2"/>
  <c r="D11" i="2"/>
  <c r="C11" i="2"/>
  <c r="B11" i="2"/>
  <c r="H10" i="2"/>
  <c r="I10" i="2" s="1"/>
  <c r="G10" i="2"/>
  <c r="F10" i="2"/>
  <c r="E10" i="2"/>
  <c r="D10" i="2"/>
  <c r="C10" i="2"/>
  <c r="B10" i="2"/>
  <c r="G9" i="2"/>
  <c r="F9" i="2"/>
  <c r="E9" i="2"/>
  <c r="D9" i="2"/>
  <c r="B9" i="2"/>
  <c r="J8" i="2"/>
  <c r="I8" i="2"/>
  <c r="H8" i="2"/>
  <c r="G8" i="2"/>
  <c r="F8" i="2"/>
  <c r="E8" i="2"/>
  <c r="C8" i="2"/>
  <c r="J7" i="2"/>
  <c r="F7" i="2"/>
  <c r="E7" i="2"/>
  <c r="D7" i="2"/>
  <c r="C7" i="2"/>
  <c r="C13" i="2" s="1"/>
  <c r="B7" i="2"/>
  <c r="B13" i="2" s="1"/>
  <c r="J6" i="2"/>
  <c r="I6" i="2"/>
  <c r="H6" i="2"/>
  <c r="F6" i="2"/>
  <c r="H5" i="2"/>
  <c r="G5" i="2"/>
  <c r="F5" i="2"/>
  <c r="E5" i="2"/>
  <c r="D5" i="2"/>
  <c r="C5" i="2"/>
  <c r="B5" i="2"/>
  <c r="J4" i="2"/>
  <c r="N328" i="1"/>
  <c r="L328" i="1"/>
  <c r="K328" i="1"/>
  <c r="E328" i="1"/>
  <c r="E319" i="3" s="1"/>
  <c r="D328" i="1"/>
  <c r="D319" i="3" s="1"/>
  <c r="C328" i="1"/>
  <c r="C319" i="3" s="1"/>
  <c r="B328" i="1"/>
  <c r="B319" i="3" s="1"/>
  <c r="M327" i="1"/>
  <c r="K327" i="1"/>
  <c r="H327" i="1"/>
  <c r="I318" i="3" s="1"/>
  <c r="G327" i="1"/>
  <c r="G318" i="3" s="1"/>
  <c r="F327" i="1"/>
  <c r="F318" i="3" s="1"/>
  <c r="N326" i="1"/>
  <c r="M326" i="1"/>
  <c r="K326" i="1"/>
  <c r="I326" i="1"/>
  <c r="H317" i="3" s="1"/>
  <c r="G326" i="1"/>
  <c r="G317" i="3" s="1"/>
  <c r="F326" i="1"/>
  <c r="F317" i="3" s="1"/>
  <c r="M325" i="1"/>
  <c r="I325" i="1"/>
  <c r="H316" i="3" s="1"/>
  <c r="N324" i="1"/>
  <c r="M324" i="1"/>
  <c r="I324" i="1"/>
  <c r="H315" i="3" s="1"/>
  <c r="M323" i="1"/>
  <c r="K323" i="1"/>
  <c r="I323" i="1"/>
  <c r="H314" i="3" s="1"/>
  <c r="H323" i="1"/>
  <c r="G323" i="1"/>
  <c r="G314" i="3" s="1"/>
  <c r="F323" i="1"/>
  <c r="F314" i="3" s="1"/>
  <c r="M322" i="1"/>
  <c r="M328" i="1" s="1"/>
  <c r="I322" i="1"/>
  <c r="H313" i="3" s="1"/>
  <c r="N319" i="1"/>
  <c r="M319" i="1"/>
  <c r="L319" i="1"/>
  <c r="K319" i="1"/>
  <c r="G319" i="1"/>
  <c r="G310" i="3" s="1"/>
  <c r="E319" i="1"/>
  <c r="E310" i="3" s="1"/>
  <c r="D319" i="1"/>
  <c r="D310" i="3" s="1"/>
  <c r="B319" i="1"/>
  <c r="B310" i="3" s="1"/>
  <c r="I318" i="1"/>
  <c r="H309" i="3" s="1"/>
  <c r="M317" i="1"/>
  <c r="H317" i="1"/>
  <c r="I308" i="3" s="1"/>
  <c r="G317" i="1"/>
  <c r="G308" i="3" s="1"/>
  <c r="D317" i="1"/>
  <c r="D308" i="3" s="1"/>
  <c r="C317" i="1"/>
  <c r="C308" i="3" s="1"/>
  <c r="M316" i="1"/>
  <c r="I316" i="1"/>
  <c r="H307" i="3" s="1"/>
  <c r="G316" i="1"/>
  <c r="G307" i="3" s="1"/>
  <c r="C316" i="1"/>
  <c r="C307" i="3" s="1"/>
  <c r="C315" i="1"/>
  <c r="C306" i="3" s="1"/>
  <c r="M314" i="1"/>
  <c r="C314" i="1"/>
  <c r="C305" i="3" s="1"/>
  <c r="M313" i="1"/>
  <c r="I313" i="1"/>
  <c r="G313" i="1"/>
  <c r="G304" i="3" s="1"/>
  <c r="F313" i="1"/>
  <c r="N310" i="1"/>
  <c r="L310" i="1"/>
  <c r="K310" i="1"/>
  <c r="I310" i="1"/>
  <c r="H301" i="3" s="1"/>
  <c r="E310" i="1"/>
  <c r="E301" i="3" s="1"/>
  <c r="M309" i="1"/>
  <c r="I309" i="1"/>
  <c r="H300" i="3" s="1"/>
  <c r="G309" i="1"/>
  <c r="F309" i="1"/>
  <c r="F300" i="3" s="1"/>
  <c r="E309" i="1"/>
  <c r="E300" i="3" s="1"/>
  <c r="D309" i="1"/>
  <c r="D300" i="3" s="1"/>
  <c r="C309" i="1"/>
  <c r="C300" i="3" s="1"/>
  <c r="M308" i="1"/>
  <c r="I308" i="1"/>
  <c r="H299" i="3" s="1"/>
  <c r="G308" i="1"/>
  <c r="M307" i="1"/>
  <c r="I307" i="1"/>
  <c r="H298" i="3" s="1"/>
  <c r="H307" i="1"/>
  <c r="I298" i="3" s="1"/>
  <c r="G307" i="1"/>
  <c r="G298" i="3" s="1"/>
  <c r="F307" i="1"/>
  <c r="F298" i="3" s="1"/>
  <c r="E307" i="1"/>
  <c r="E298" i="3" s="1"/>
  <c r="D307" i="1"/>
  <c r="D298" i="3" s="1"/>
  <c r="C307" i="1"/>
  <c r="C298" i="3" s="1"/>
  <c r="M306" i="1"/>
  <c r="I306" i="1"/>
  <c r="H297" i="3" s="1"/>
  <c r="H306" i="1"/>
  <c r="I297" i="3" s="1"/>
  <c r="G306" i="1"/>
  <c r="G297" i="3" s="1"/>
  <c r="F306" i="1"/>
  <c r="F297" i="3" s="1"/>
  <c r="E306" i="1"/>
  <c r="E297" i="3" s="1"/>
  <c r="D306" i="1"/>
  <c r="D297" i="3" s="1"/>
  <c r="C306" i="1"/>
  <c r="B306" i="1"/>
  <c r="B297" i="3" s="1"/>
  <c r="B305" i="1"/>
  <c r="B296" i="3" s="1"/>
  <c r="M302" i="1"/>
  <c r="K302" i="1"/>
  <c r="I302" i="1"/>
  <c r="H293" i="3" s="1"/>
  <c r="G302" i="1"/>
  <c r="G293" i="3" s="1"/>
  <c r="F302" i="1"/>
  <c r="F293" i="3" s="1"/>
  <c r="E302" i="1"/>
  <c r="E293" i="3" s="1"/>
  <c r="D302" i="1"/>
  <c r="D293" i="3" s="1"/>
  <c r="C302" i="1"/>
  <c r="C293" i="3" s="1"/>
  <c r="B302" i="1"/>
  <c r="B293" i="3" s="1"/>
  <c r="L301" i="1"/>
  <c r="F301" i="1"/>
  <c r="F292" i="3" s="1"/>
  <c r="E300" i="1"/>
  <c r="E291" i="3" s="1"/>
  <c r="D300" i="1"/>
  <c r="D291" i="3" s="1"/>
  <c r="C300" i="1"/>
  <c r="C291" i="3" s="1"/>
  <c r="I299" i="1"/>
  <c r="H290" i="3" s="1"/>
  <c r="E299" i="1"/>
  <c r="E290" i="3" s="1"/>
  <c r="D299" i="1"/>
  <c r="D290" i="3" s="1"/>
  <c r="C299" i="1"/>
  <c r="C290" i="3" s="1"/>
  <c r="B299" i="1"/>
  <c r="B290" i="3" s="1"/>
  <c r="H298" i="1"/>
  <c r="I289" i="3" s="1"/>
  <c r="G298" i="1"/>
  <c r="G289" i="3" s="1"/>
  <c r="F298" i="1"/>
  <c r="F289" i="3" s="1"/>
  <c r="D298" i="1"/>
  <c r="D289" i="3" s="1"/>
  <c r="C298" i="1"/>
  <c r="C289" i="3" s="1"/>
  <c r="B298" i="1"/>
  <c r="B289" i="3" s="1"/>
  <c r="I297" i="1"/>
  <c r="H288" i="3" s="1"/>
  <c r="F297" i="1"/>
  <c r="F288" i="3" s="1"/>
  <c r="E297" i="1"/>
  <c r="E288" i="3" s="1"/>
  <c r="D297" i="1"/>
  <c r="D288" i="3" s="1"/>
  <c r="C297" i="1"/>
  <c r="C288" i="3" s="1"/>
  <c r="B297" i="1"/>
  <c r="B288" i="3" s="1"/>
  <c r="M296" i="1"/>
  <c r="K296" i="1"/>
  <c r="J287" i="3" s="1"/>
  <c r="I296" i="1"/>
  <c r="H287" i="3" s="1"/>
  <c r="H296" i="1"/>
  <c r="I287" i="3" s="1"/>
  <c r="G296" i="1"/>
  <c r="G287" i="3" s="1"/>
  <c r="F296" i="1"/>
  <c r="F287" i="3" s="1"/>
  <c r="E296" i="1"/>
  <c r="D296" i="1"/>
  <c r="D287" i="3" s="1"/>
  <c r="C296" i="1"/>
  <c r="C287" i="3" s="1"/>
  <c r="B296" i="1"/>
  <c r="B287" i="3" s="1"/>
  <c r="D295" i="1"/>
  <c r="D286" i="3" s="1"/>
  <c r="B295" i="1"/>
  <c r="B286" i="3" s="1"/>
  <c r="M294" i="1"/>
  <c r="I294" i="1"/>
  <c r="H285" i="3" s="1"/>
  <c r="H294" i="1"/>
  <c r="I285" i="3" s="1"/>
  <c r="G294" i="1"/>
  <c r="G285" i="3" s="1"/>
  <c r="E294" i="1"/>
  <c r="E285" i="3" s="1"/>
  <c r="D294" i="1"/>
  <c r="D285" i="3" s="1"/>
  <c r="B294" i="1"/>
  <c r="B285" i="3" s="1"/>
  <c r="M293" i="1"/>
  <c r="M301" i="1" s="1"/>
  <c r="I293" i="1"/>
  <c r="H284" i="3" s="1"/>
  <c r="G293" i="1"/>
  <c r="F293" i="1"/>
  <c r="F284" i="3" s="1"/>
  <c r="E293" i="1"/>
  <c r="E284" i="3" s="1"/>
  <c r="D293" i="1"/>
  <c r="D284" i="3" s="1"/>
  <c r="N291" i="1"/>
  <c r="M291" i="1"/>
  <c r="L291" i="1"/>
  <c r="I291" i="1"/>
  <c r="H282" i="3" s="1"/>
  <c r="F291" i="1"/>
  <c r="F282" i="3" s="1"/>
  <c r="D291" i="1"/>
  <c r="D282" i="3" s="1"/>
  <c r="D290" i="1"/>
  <c r="D281" i="3" s="1"/>
  <c r="M289" i="1"/>
  <c r="G289" i="1"/>
  <c r="G280" i="3" s="1"/>
  <c r="F289" i="1"/>
  <c r="F280" i="3" s="1"/>
  <c r="E289" i="1"/>
  <c r="E280" i="3" s="1"/>
  <c r="M288" i="1"/>
  <c r="I288" i="1"/>
  <c r="H279" i="3" s="1"/>
  <c r="H288" i="1"/>
  <c r="I279" i="3" s="1"/>
  <c r="G288" i="1"/>
  <c r="G279" i="3" s="1"/>
  <c r="F288" i="1"/>
  <c r="F279" i="3" s="1"/>
  <c r="E288" i="1"/>
  <c r="E279" i="3" s="1"/>
  <c r="D288" i="1"/>
  <c r="D279" i="3" s="1"/>
  <c r="C288" i="1"/>
  <c r="C279" i="3" s="1"/>
  <c r="B288" i="1"/>
  <c r="B279" i="3" s="1"/>
  <c r="M287" i="1"/>
  <c r="K287" i="1"/>
  <c r="I287" i="1"/>
  <c r="H278" i="3" s="1"/>
  <c r="G287" i="1"/>
  <c r="G278" i="3" s="1"/>
  <c r="F287" i="1"/>
  <c r="F278" i="3" s="1"/>
  <c r="E287" i="1"/>
  <c r="D287" i="1"/>
  <c r="D278" i="3" s="1"/>
  <c r="C287" i="1"/>
  <c r="C278" i="3" s="1"/>
  <c r="B287" i="1"/>
  <c r="M286" i="1"/>
  <c r="I286" i="1"/>
  <c r="H277" i="3" s="1"/>
  <c r="H286" i="1"/>
  <c r="I277" i="3" s="1"/>
  <c r="G286" i="1"/>
  <c r="G277" i="3" s="1"/>
  <c r="D286" i="1"/>
  <c r="D277" i="3" s="1"/>
  <c r="C286" i="1"/>
  <c r="C277" i="3" s="1"/>
  <c r="D285" i="1"/>
  <c r="D276" i="3" s="1"/>
  <c r="C285" i="1"/>
  <c r="N283" i="1"/>
  <c r="L283" i="1"/>
  <c r="K283" i="1"/>
  <c r="F283" i="1"/>
  <c r="F274" i="3" s="1"/>
  <c r="B283" i="1"/>
  <c r="B274" i="3" s="1"/>
  <c r="M282" i="1"/>
  <c r="D281" i="1"/>
  <c r="D272" i="3" s="1"/>
  <c r="M280" i="1"/>
  <c r="I280" i="1"/>
  <c r="H271" i="3" s="1"/>
  <c r="H280" i="1"/>
  <c r="I271" i="3" s="1"/>
  <c r="G280" i="1"/>
  <c r="G271" i="3" s="1"/>
  <c r="F280" i="1"/>
  <c r="F271" i="3" s="1"/>
  <c r="E280" i="1"/>
  <c r="E271" i="3" s="1"/>
  <c r="I279" i="1"/>
  <c r="H270" i="3" s="1"/>
  <c r="M277" i="1"/>
  <c r="I277" i="1"/>
  <c r="H268" i="3" s="1"/>
  <c r="E277" i="1"/>
  <c r="D277" i="1"/>
  <c r="D268" i="3" s="1"/>
  <c r="C277" i="1"/>
  <c r="C268" i="3" s="1"/>
  <c r="M276" i="1"/>
  <c r="I276" i="1"/>
  <c r="H267" i="3" s="1"/>
  <c r="H276" i="1"/>
  <c r="G276" i="1"/>
  <c r="G267" i="3" s="1"/>
  <c r="F276" i="1"/>
  <c r="F267" i="3" s="1"/>
  <c r="C276" i="1"/>
  <c r="I275" i="1"/>
  <c r="H266" i="3" s="1"/>
  <c r="E275" i="1"/>
  <c r="E266" i="3" s="1"/>
  <c r="N273" i="1"/>
  <c r="L273" i="1"/>
  <c r="L303" i="1" s="1"/>
  <c r="K273" i="1"/>
  <c r="G273" i="1"/>
  <c r="G264" i="3" s="1"/>
  <c r="C273" i="1"/>
  <c r="C264" i="3" s="1"/>
  <c r="E272" i="1"/>
  <c r="E263" i="3" s="1"/>
  <c r="D272" i="1"/>
  <c r="D263" i="3" s="1"/>
  <c r="C272" i="1"/>
  <c r="C263" i="3" s="1"/>
  <c r="I271" i="1"/>
  <c r="H262" i="3" s="1"/>
  <c r="H271" i="1"/>
  <c r="I262" i="3" s="1"/>
  <c r="G271" i="1"/>
  <c r="G262" i="3" s="1"/>
  <c r="F271" i="1"/>
  <c r="E271" i="1"/>
  <c r="E262" i="3" s="1"/>
  <c r="D271" i="1"/>
  <c r="D262" i="3" s="1"/>
  <c r="C271" i="1"/>
  <c r="C262" i="3" s="1"/>
  <c r="H270" i="1"/>
  <c r="I261" i="3" s="1"/>
  <c r="G270" i="1"/>
  <c r="G261" i="3" s="1"/>
  <c r="C270" i="1"/>
  <c r="C261" i="3" s="1"/>
  <c r="M269" i="1"/>
  <c r="M273" i="1" s="1"/>
  <c r="H269" i="1"/>
  <c r="I260" i="3" s="1"/>
  <c r="G269" i="1"/>
  <c r="G260" i="3" s="1"/>
  <c r="F269" i="1"/>
  <c r="F260" i="3" s="1"/>
  <c r="E269" i="1"/>
  <c r="D269" i="1"/>
  <c r="D260" i="3" s="1"/>
  <c r="C269" i="1"/>
  <c r="C260" i="3" s="1"/>
  <c r="B269" i="1"/>
  <c r="B260" i="3" s="1"/>
  <c r="B268" i="1"/>
  <c r="B259" i="3" s="1"/>
  <c r="D267" i="1"/>
  <c r="C267" i="1"/>
  <c r="C258" i="3" s="1"/>
  <c r="G266" i="1"/>
  <c r="F266" i="1"/>
  <c r="F257" i="3" s="1"/>
  <c r="B266" i="1"/>
  <c r="B257" i="3" s="1"/>
  <c r="H263" i="1"/>
  <c r="I254" i="3" s="1"/>
  <c r="F263" i="1"/>
  <c r="F254" i="3" s="1"/>
  <c r="D263" i="1"/>
  <c r="D254" i="3" s="1"/>
  <c r="K262" i="1"/>
  <c r="H262" i="1"/>
  <c r="I253" i="3" s="1"/>
  <c r="G262" i="1"/>
  <c r="G253" i="3" s="1"/>
  <c r="D262" i="1"/>
  <c r="D253" i="3" s="1"/>
  <c r="C262" i="1"/>
  <c r="C253" i="3" s="1"/>
  <c r="B262" i="1"/>
  <c r="B253" i="3" s="1"/>
  <c r="F261" i="1"/>
  <c r="F252" i="3" s="1"/>
  <c r="E261" i="1"/>
  <c r="E252" i="3" s="1"/>
  <c r="H260" i="1"/>
  <c r="I251" i="3" s="1"/>
  <c r="F260" i="1"/>
  <c r="F251" i="3" s="1"/>
  <c r="E260" i="1"/>
  <c r="E251" i="3" s="1"/>
  <c r="E259" i="1"/>
  <c r="E250" i="3" s="1"/>
  <c r="E258" i="1"/>
  <c r="F257" i="1"/>
  <c r="F248" i="3" s="1"/>
  <c r="E257" i="1"/>
  <c r="E248" i="3" s="1"/>
  <c r="F256" i="1"/>
  <c r="F247" i="3" s="1"/>
  <c r="E256" i="1"/>
  <c r="E247" i="3" s="1"/>
  <c r="C256" i="1"/>
  <c r="C247" i="3" s="1"/>
  <c r="N255" i="1"/>
  <c r="L255" i="1"/>
  <c r="I255" i="1"/>
  <c r="H246" i="3" s="1"/>
  <c r="F255" i="1"/>
  <c r="F246" i="3" s="1"/>
  <c r="C255" i="1"/>
  <c r="C246" i="3" s="1"/>
  <c r="B255" i="1"/>
  <c r="B246" i="3" s="1"/>
  <c r="F254" i="1"/>
  <c r="F245" i="3" s="1"/>
  <c r="E254" i="1"/>
  <c r="E245" i="3" s="1"/>
  <c r="D254" i="1"/>
  <c r="D245" i="3" s="1"/>
  <c r="C254" i="1"/>
  <c r="C245" i="3" s="1"/>
  <c r="B254" i="1"/>
  <c r="B245" i="3" s="1"/>
  <c r="M253" i="1"/>
  <c r="M255" i="1" s="1"/>
  <c r="K253" i="1"/>
  <c r="H253" i="1"/>
  <c r="I244" i="3" s="1"/>
  <c r="G253" i="1"/>
  <c r="G244" i="3" s="1"/>
  <c r="F253" i="1"/>
  <c r="F244" i="3" s="1"/>
  <c r="M252" i="1"/>
  <c r="I252" i="1"/>
  <c r="H243" i="3" s="1"/>
  <c r="G252" i="1"/>
  <c r="G243" i="3" s="1"/>
  <c r="F252" i="1"/>
  <c r="F243" i="3" s="1"/>
  <c r="D252" i="1"/>
  <c r="D243" i="3" s="1"/>
  <c r="C252" i="1"/>
  <c r="C243" i="3" s="1"/>
  <c r="N250" i="1"/>
  <c r="L250" i="1"/>
  <c r="L264" i="1" s="1"/>
  <c r="K250" i="1"/>
  <c r="J241" i="3" s="1"/>
  <c r="E250" i="1"/>
  <c r="E241" i="3" s="1"/>
  <c r="C250" i="1"/>
  <c r="C241" i="3" s="1"/>
  <c r="M249" i="1"/>
  <c r="M248" i="1"/>
  <c r="I248" i="1"/>
  <c r="H240" i="3" s="1"/>
  <c r="G248" i="1"/>
  <c r="G240" i="3" s="1"/>
  <c r="F248" i="1"/>
  <c r="F240" i="3" s="1"/>
  <c r="M247" i="1"/>
  <c r="M250" i="1" s="1"/>
  <c r="I247" i="1"/>
  <c r="H239" i="3" s="1"/>
  <c r="I246" i="1"/>
  <c r="H238" i="3" s="1"/>
  <c r="I245" i="1"/>
  <c r="H244" i="1"/>
  <c r="I236" i="3" s="1"/>
  <c r="G244" i="1"/>
  <c r="G236" i="3" s="1"/>
  <c r="F244" i="1"/>
  <c r="F236" i="3" s="1"/>
  <c r="E244" i="1"/>
  <c r="E236" i="3" s="1"/>
  <c r="D244" i="1"/>
  <c r="C244" i="1"/>
  <c r="C236" i="3" s="1"/>
  <c r="B244" i="1"/>
  <c r="B236" i="3" s="1"/>
  <c r="N243" i="1"/>
  <c r="N264" i="1" s="1"/>
  <c r="M243" i="1"/>
  <c r="K243" i="1"/>
  <c r="I243" i="1"/>
  <c r="H235" i="3" s="1"/>
  <c r="G243" i="1"/>
  <c r="F243" i="1"/>
  <c r="F235" i="3" s="1"/>
  <c r="E243" i="1"/>
  <c r="E235" i="3" s="1"/>
  <c r="D243" i="1"/>
  <c r="C243" i="1"/>
  <c r="C235" i="3" s="1"/>
  <c r="B243" i="1"/>
  <c r="B235" i="3" s="1"/>
  <c r="B241" i="1"/>
  <c r="B233" i="3" s="1"/>
  <c r="D239" i="1"/>
  <c r="D231" i="3" s="1"/>
  <c r="L237" i="1"/>
  <c r="E237" i="1"/>
  <c r="E229" i="3" s="1"/>
  <c r="D237" i="1"/>
  <c r="D229" i="3" s="1"/>
  <c r="C237" i="1"/>
  <c r="C229" i="3" s="1"/>
  <c r="B237" i="1"/>
  <c r="B229" i="3" s="1"/>
  <c r="M236" i="1"/>
  <c r="I236" i="1"/>
  <c r="H228" i="3" s="1"/>
  <c r="M235" i="1"/>
  <c r="I235" i="1"/>
  <c r="H227" i="3" s="1"/>
  <c r="M234" i="1"/>
  <c r="I234" i="1"/>
  <c r="H226" i="3" s="1"/>
  <c r="N237" i="1"/>
  <c r="M233" i="1"/>
  <c r="I233" i="1"/>
  <c r="H225" i="3" s="1"/>
  <c r="G233" i="1"/>
  <c r="F233" i="1"/>
  <c r="F225" i="3" s="1"/>
  <c r="E233" i="1"/>
  <c r="E225" i="3" s="1"/>
  <c r="O232" i="1"/>
  <c r="I232" i="1"/>
  <c r="H224" i="3" s="1"/>
  <c r="N230" i="1"/>
  <c r="L230" i="1"/>
  <c r="L239" i="1" s="1"/>
  <c r="K230" i="1"/>
  <c r="G230" i="1"/>
  <c r="D230" i="1"/>
  <c r="D222" i="3" s="1"/>
  <c r="B230" i="1"/>
  <c r="M229" i="1"/>
  <c r="I229" i="1"/>
  <c r="H221" i="3" s="1"/>
  <c r="H229" i="1"/>
  <c r="I221" i="3" s="1"/>
  <c r="G229" i="1"/>
  <c r="G221" i="3" s="1"/>
  <c r="F229" i="1"/>
  <c r="F221" i="3" s="1"/>
  <c r="M228" i="1"/>
  <c r="M230" i="1" s="1"/>
  <c r="I228" i="1"/>
  <c r="H220" i="3" s="1"/>
  <c r="H228" i="1"/>
  <c r="I220" i="3" s="1"/>
  <c r="G228" i="1"/>
  <c r="G220" i="3" s="1"/>
  <c r="F228" i="1"/>
  <c r="F220" i="3" s="1"/>
  <c r="E228" i="1"/>
  <c r="K227" i="1"/>
  <c r="J219" i="3" s="1"/>
  <c r="I227" i="1"/>
  <c r="H227" i="1"/>
  <c r="I219" i="3" s="1"/>
  <c r="G227" i="1"/>
  <c r="G219" i="3" s="1"/>
  <c r="F227" i="1"/>
  <c r="E227" i="1"/>
  <c r="E219" i="3" s="1"/>
  <c r="D227" i="1"/>
  <c r="D219" i="3" s="1"/>
  <c r="C227" i="1"/>
  <c r="B227" i="1"/>
  <c r="B219" i="3" s="1"/>
  <c r="C225" i="1"/>
  <c r="C217" i="3" s="1"/>
  <c r="B225" i="1"/>
  <c r="B217" i="3" s="1"/>
  <c r="N224" i="1"/>
  <c r="M224" i="1"/>
  <c r="K224" i="1"/>
  <c r="I224" i="1"/>
  <c r="H216" i="3" s="1"/>
  <c r="H224" i="1"/>
  <c r="I216" i="3" s="1"/>
  <c r="G224" i="1"/>
  <c r="G216" i="3" s="1"/>
  <c r="N221" i="1"/>
  <c r="L221" i="1"/>
  <c r="K221" i="1"/>
  <c r="J213" i="3" s="1"/>
  <c r="G221" i="1"/>
  <c r="G213" i="3" s="1"/>
  <c r="F220" i="1"/>
  <c r="F212" i="3" s="1"/>
  <c r="E220" i="1"/>
  <c r="E212" i="3" s="1"/>
  <c r="C219" i="1"/>
  <c r="C211" i="3" s="1"/>
  <c r="M218" i="1"/>
  <c r="I218" i="1"/>
  <c r="H210" i="3" s="1"/>
  <c r="H218" i="1"/>
  <c r="I210" i="3" s="1"/>
  <c r="G218" i="1"/>
  <c r="G210" i="3" s="1"/>
  <c r="F218" i="1"/>
  <c r="E218" i="1"/>
  <c r="E210" i="3" s="1"/>
  <c r="D218" i="1"/>
  <c r="D210" i="3" s="1"/>
  <c r="C218" i="1"/>
  <c r="C210" i="3" s="1"/>
  <c r="B218" i="1"/>
  <c r="B210" i="3" s="1"/>
  <c r="N217" i="1"/>
  <c r="M217" i="1"/>
  <c r="K217" i="1"/>
  <c r="I217" i="1"/>
  <c r="H209" i="3" s="1"/>
  <c r="F217" i="1"/>
  <c r="F209" i="3" s="1"/>
  <c r="E217" i="1"/>
  <c r="E209" i="3" s="1"/>
  <c r="D217" i="1"/>
  <c r="D209" i="3" s="1"/>
  <c r="C217" i="1"/>
  <c r="C209" i="3" s="1"/>
  <c r="B217" i="1"/>
  <c r="B209" i="3" s="1"/>
  <c r="M216" i="1"/>
  <c r="M221" i="1" s="1"/>
  <c r="I216" i="1"/>
  <c r="H208" i="3" s="1"/>
  <c r="H216" i="1"/>
  <c r="G216" i="1"/>
  <c r="G208" i="3" s="1"/>
  <c r="F216" i="1"/>
  <c r="F208" i="3" s="1"/>
  <c r="E216" i="1"/>
  <c r="E208" i="3" s="1"/>
  <c r="D216" i="1"/>
  <c r="C216" i="1"/>
  <c r="C208" i="3" s="1"/>
  <c r="B216" i="1"/>
  <c r="B208" i="3" s="1"/>
  <c r="C215" i="1"/>
  <c r="C207" i="3" s="1"/>
  <c r="B215" i="1"/>
  <c r="B207" i="3" s="1"/>
  <c r="I213" i="1"/>
  <c r="H205" i="3" s="1"/>
  <c r="M212" i="1"/>
  <c r="I212" i="1"/>
  <c r="H204" i="3" s="1"/>
  <c r="H212" i="1"/>
  <c r="I204" i="3" s="1"/>
  <c r="G212" i="1"/>
  <c r="G204" i="3" s="1"/>
  <c r="F212" i="1"/>
  <c r="F204" i="3" s="1"/>
  <c r="E212" i="1"/>
  <c r="E204" i="3" s="1"/>
  <c r="L211" i="1"/>
  <c r="L213" i="1" s="1"/>
  <c r="I211" i="1"/>
  <c r="H203" i="3" s="1"/>
  <c r="F211" i="1"/>
  <c r="F203" i="3" s="1"/>
  <c r="C211" i="1"/>
  <c r="C203" i="3" s="1"/>
  <c r="M210" i="1"/>
  <c r="G210" i="1"/>
  <c r="F210" i="1"/>
  <c r="F202" i="3" s="1"/>
  <c r="M209" i="1"/>
  <c r="M211" i="1" s="1"/>
  <c r="M213" i="1" s="1"/>
  <c r="K209" i="1"/>
  <c r="I209" i="1"/>
  <c r="H201" i="3" s="1"/>
  <c r="H209" i="1"/>
  <c r="I201" i="3" s="1"/>
  <c r="G209" i="1"/>
  <c r="G201" i="3" s="1"/>
  <c r="F209" i="1"/>
  <c r="F201" i="3" s="1"/>
  <c r="M208" i="1"/>
  <c r="I208" i="1"/>
  <c r="H200" i="3" s="1"/>
  <c r="G208" i="1"/>
  <c r="F208" i="1"/>
  <c r="F200" i="3" s="1"/>
  <c r="F207" i="1"/>
  <c r="F199" i="3" s="1"/>
  <c r="E207" i="1"/>
  <c r="E199" i="3" s="1"/>
  <c r="D207" i="1"/>
  <c r="D199" i="3" s="1"/>
  <c r="C207" i="1"/>
  <c r="C199" i="3" s="1"/>
  <c r="B207" i="1"/>
  <c r="I206" i="1"/>
  <c r="H198" i="3" s="1"/>
  <c r="E206" i="1"/>
  <c r="E198" i="3" s="1"/>
  <c r="D206" i="1"/>
  <c r="D198" i="3" s="1"/>
  <c r="C206" i="1"/>
  <c r="C198" i="3" s="1"/>
  <c r="B206" i="1"/>
  <c r="B198" i="3" s="1"/>
  <c r="M205" i="1"/>
  <c r="I205" i="1"/>
  <c r="H197" i="3" s="1"/>
  <c r="H205" i="1"/>
  <c r="I197" i="3" s="1"/>
  <c r="G205" i="1"/>
  <c r="G197" i="3" s="1"/>
  <c r="F205" i="1"/>
  <c r="F197" i="3" s="1"/>
  <c r="E205" i="1"/>
  <c r="E197" i="3" s="1"/>
  <c r="D205" i="1"/>
  <c r="C205" i="1"/>
  <c r="C197" i="3" s="1"/>
  <c r="B205" i="1"/>
  <c r="B197" i="3" s="1"/>
  <c r="I204" i="1"/>
  <c r="H196" i="3" s="1"/>
  <c r="H204" i="1"/>
  <c r="I196" i="3" s="1"/>
  <c r="G204" i="1"/>
  <c r="G196" i="3" s="1"/>
  <c r="F204" i="1"/>
  <c r="F196" i="3" s="1"/>
  <c r="E203" i="1"/>
  <c r="L201" i="1"/>
  <c r="M200" i="1"/>
  <c r="I199" i="1"/>
  <c r="H192" i="3" s="1"/>
  <c r="N198" i="1"/>
  <c r="M198" i="1"/>
  <c r="K198" i="1"/>
  <c r="I198" i="1"/>
  <c r="H191" i="3" s="1"/>
  <c r="H198" i="1"/>
  <c r="I191" i="3" s="1"/>
  <c r="G198" i="1"/>
  <c r="G191" i="3" s="1"/>
  <c r="F198" i="1"/>
  <c r="F191" i="3" s="1"/>
  <c r="E198" i="1"/>
  <c r="E191" i="3" s="1"/>
  <c r="D198" i="1"/>
  <c r="D191" i="3" s="1"/>
  <c r="C198" i="1"/>
  <c r="C191" i="3" s="1"/>
  <c r="B198" i="1"/>
  <c r="B191" i="3" s="1"/>
  <c r="M197" i="1"/>
  <c r="I197" i="1"/>
  <c r="H190" i="3" s="1"/>
  <c r="G197" i="1"/>
  <c r="F197" i="1"/>
  <c r="F190" i="3" s="1"/>
  <c r="E197" i="1"/>
  <c r="E190" i="3" s="1"/>
  <c r="D197" i="1"/>
  <c r="D190" i="3" s="1"/>
  <c r="C197" i="1"/>
  <c r="C190" i="3" s="1"/>
  <c r="B197" i="1"/>
  <c r="B190" i="3" s="1"/>
  <c r="M196" i="1"/>
  <c r="M201" i="1" s="1"/>
  <c r="K196" i="1"/>
  <c r="I196" i="1"/>
  <c r="H189" i="3" s="1"/>
  <c r="G196" i="1"/>
  <c r="G189" i="3" s="1"/>
  <c r="F196" i="1"/>
  <c r="F189" i="3" s="1"/>
  <c r="E196" i="1"/>
  <c r="E189" i="3" s="1"/>
  <c r="D196" i="1"/>
  <c r="D189" i="3" s="1"/>
  <c r="C196" i="1"/>
  <c r="C189" i="3" s="1"/>
  <c r="B196" i="1"/>
  <c r="B189" i="3" s="1"/>
  <c r="N195" i="1"/>
  <c r="L195" i="1"/>
  <c r="K195" i="1"/>
  <c r="H195" i="1"/>
  <c r="I188" i="3" s="1"/>
  <c r="G195" i="1"/>
  <c r="G188" i="3" s="1"/>
  <c r="M194" i="1"/>
  <c r="I194" i="1"/>
  <c r="H187" i="3" s="1"/>
  <c r="H194" i="1"/>
  <c r="I187" i="3" s="1"/>
  <c r="G194" i="1"/>
  <c r="G187" i="3" s="1"/>
  <c r="E194" i="1"/>
  <c r="E187" i="3" s="1"/>
  <c r="D194" i="1"/>
  <c r="D187" i="3" s="1"/>
  <c r="C194" i="1"/>
  <c r="C187" i="3" s="1"/>
  <c r="B194" i="1"/>
  <c r="B187" i="3" s="1"/>
  <c r="M193" i="1"/>
  <c r="M195" i="1" s="1"/>
  <c r="I193" i="1"/>
  <c r="H186" i="3" s="1"/>
  <c r="H193" i="1"/>
  <c r="I186" i="3" s="1"/>
  <c r="G193" i="1"/>
  <c r="G186" i="3" s="1"/>
  <c r="F193" i="1"/>
  <c r="E193" i="1"/>
  <c r="E186" i="3" s="1"/>
  <c r="D193" i="1"/>
  <c r="D186" i="3" s="1"/>
  <c r="C193" i="1"/>
  <c r="B193" i="1"/>
  <c r="B186" i="3" s="1"/>
  <c r="N191" i="1"/>
  <c r="M191" i="1"/>
  <c r="K191" i="1"/>
  <c r="J184" i="3" s="1"/>
  <c r="I191" i="1"/>
  <c r="H184" i="3" s="1"/>
  <c r="G191" i="1"/>
  <c r="G184" i="3" s="1"/>
  <c r="F191" i="1"/>
  <c r="F184" i="3" s="1"/>
  <c r="E191" i="1"/>
  <c r="E184" i="3" s="1"/>
  <c r="D191" i="1"/>
  <c r="D184" i="3" s="1"/>
  <c r="C191" i="1"/>
  <c r="C184" i="3" s="1"/>
  <c r="B191" i="1"/>
  <c r="B184" i="3" s="1"/>
  <c r="N190" i="1"/>
  <c r="L190" i="1"/>
  <c r="K190" i="1"/>
  <c r="I190" i="1"/>
  <c r="H183" i="3" s="1"/>
  <c r="E190" i="1"/>
  <c r="E183" i="3" s="1"/>
  <c r="B190" i="1"/>
  <c r="B183" i="3" s="1"/>
  <c r="G189" i="1"/>
  <c r="G182" i="3" s="1"/>
  <c r="F189" i="1"/>
  <c r="F182" i="3" s="1"/>
  <c r="E189" i="1"/>
  <c r="E182" i="3" s="1"/>
  <c r="D189" i="1"/>
  <c r="D182" i="3" s="1"/>
  <c r="C189" i="1"/>
  <c r="C182" i="3" s="1"/>
  <c r="B189" i="1"/>
  <c r="B182" i="3" s="1"/>
  <c r="H188" i="1"/>
  <c r="I181" i="3" s="1"/>
  <c r="G188" i="1"/>
  <c r="G181" i="3" s="1"/>
  <c r="F188" i="1"/>
  <c r="F181" i="3" s="1"/>
  <c r="E188" i="1"/>
  <c r="E181" i="3" s="1"/>
  <c r="D188" i="1"/>
  <c r="D181" i="3" s="1"/>
  <c r="C188" i="1"/>
  <c r="C181" i="3" s="1"/>
  <c r="B188" i="1"/>
  <c r="B181" i="3" s="1"/>
  <c r="M187" i="1"/>
  <c r="H187" i="1"/>
  <c r="I180" i="3" s="1"/>
  <c r="G187" i="1"/>
  <c r="G180" i="3" s="1"/>
  <c r="F187" i="1"/>
  <c r="F180" i="3" s="1"/>
  <c r="E187" i="1"/>
  <c r="E180" i="3" s="1"/>
  <c r="D187" i="1"/>
  <c r="D180" i="3" s="1"/>
  <c r="C187" i="1"/>
  <c r="C180" i="3" s="1"/>
  <c r="B187" i="1"/>
  <c r="B180" i="3" s="1"/>
  <c r="M186" i="1"/>
  <c r="M190" i="1" s="1"/>
  <c r="H186" i="1"/>
  <c r="I179" i="3" s="1"/>
  <c r="G186" i="1"/>
  <c r="G179" i="3" s="1"/>
  <c r="F186" i="1"/>
  <c r="E186" i="1"/>
  <c r="E179" i="3" s="1"/>
  <c r="D186" i="1"/>
  <c r="D179" i="3" s="1"/>
  <c r="C186" i="1"/>
  <c r="B186" i="1"/>
  <c r="B179" i="3" s="1"/>
  <c r="L184" i="1"/>
  <c r="K184" i="1"/>
  <c r="M183" i="1"/>
  <c r="M184" i="1" s="1"/>
  <c r="N182" i="1"/>
  <c r="N184" i="1" s="1"/>
  <c r="M182" i="1"/>
  <c r="K181" i="1"/>
  <c r="J177" i="3" s="1"/>
  <c r="I181" i="1"/>
  <c r="H177" i="3" s="1"/>
  <c r="G181" i="1"/>
  <c r="G177" i="3" s="1"/>
  <c r="F181" i="1"/>
  <c r="F177" i="3" s="1"/>
  <c r="E181" i="1"/>
  <c r="E177" i="3" s="1"/>
  <c r="D181" i="1"/>
  <c r="D177" i="3" s="1"/>
  <c r="C181" i="1"/>
  <c r="C177" i="3" s="1"/>
  <c r="B181" i="1"/>
  <c r="B177" i="3" s="1"/>
  <c r="M180" i="1"/>
  <c r="G180" i="1"/>
  <c r="G176" i="3" s="1"/>
  <c r="F180" i="1"/>
  <c r="F176" i="3" s="1"/>
  <c r="E180" i="1"/>
  <c r="E176" i="3" s="1"/>
  <c r="D180" i="1"/>
  <c r="D176" i="3" s="1"/>
  <c r="B180" i="1"/>
  <c r="B176" i="3" s="1"/>
  <c r="L179" i="1"/>
  <c r="K179" i="1"/>
  <c r="F179" i="1"/>
  <c r="F175" i="3" s="1"/>
  <c r="C179" i="1"/>
  <c r="C175" i="3" s="1"/>
  <c r="M178" i="1"/>
  <c r="I178" i="1"/>
  <c r="H174" i="3" s="1"/>
  <c r="G178" i="1"/>
  <c r="F178" i="1"/>
  <c r="F174" i="3" s="1"/>
  <c r="M177" i="1"/>
  <c r="I177" i="1"/>
  <c r="H173" i="3" s="1"/>
  <c r="H177" i="1"/>
  <c r="I173" i="3" s="1"/>
  <c r="G177" i="1"/>
  <c r="G173" i="3" s="1"/>
  <c r="F177" i="1"/>
  <c r="F173" i="3" s="1"/>
  <c r="E177" i="1"/>
  <c r="E173" i="3" s="1"/>
  <c r="D177" i="1"/>
  <c r="D173" i="3" s="1"/>
  <c r="C177" i="1"/>
  <c r="C173" i="3" s="1"/>
  <c r="B177" i="1"/>
  <c r="B173" i="3" s="1"/>
  <c r="N176" i="1"/>
  <c r="N179" i="1" s="1"/>
  <c r="M176" i="1"/>
  <c r="M179" i="1" s="1"/>
  <c r="I176" i="1"/>
  <c r="H172" i="3" s="1"/>
  <c r="H176" i="1"/>
  <c r="I172" i="3" s="1"/>
  <c r="G176" i="1"/>
  <c r="G172" i="3" s="1"/>
  <c r="F176" i="1"/>
  <c r="F172" i="3" s="1"/>
  <c r="E176" i="1"/>
  <c r="E172" i="3" s="1"/>
  <c r="D176" i="1"/>
  <c r="D172" i="3" s="1"/>
  <c r="C176" i="1"/>
  <c r="C172" i="3" s="1"/>
  <c r="B176" i="1"/>
  <c r="B172" i="3" s="1"/>
  <c r="D175" i="1"/>
  <c r="B175" i="1"/>
  <c r="B171" i="3" s="1"/>
  <c r="M174" i="1"/>
  <c r="I174" i="1"/>
  <c r="H170" i="3" s="1"/>
  <c r="H174" i="1"/>
  <c r="I170" i="3" s="1"/>
  <c r="G174" i="1"/>
  <c r="G170" i="3" s="1"/>
  <c r="F174" i="1"/>
  <c r="F170" i="3" s="1"/>
  <c r="E174" i="1"/>
  <c r="E170" i="3" s="1"/>
  <c r="D174" i="1"/>
  <c r="D170" i="3" s="1"/>
  <c r="C174" i="1"/>
  <c r="C170" i="3" s="1"/>
  <c r="B174" i="1"/>
  <c r="B170" i="3" s="1"/>
  <c r="H173" i="1"/>
  <c r="I169" i="3" s="1"/>
  <c r="G173" i="1"/>
  <c r="G169" i="3" s="1"/>
  <c r="F173" i="1"/>
  <c r="F169" i="3" s="1"/>
  <c r="E173" i="1"/>
  <c r="E169" i="3" s="1"/>
  <c r="D173" i="1"/>
  <c r="D169" i="3" s="1"/>
  <c r="C173" i="1"/>
  <c r="C169" i="3" s="1"/>
  <c r="B173" i="1"/>
  <c r="B169" i="3" s="1"/>
  <c r="K172" i="1"/>
  <c r="I172" i="1"/>
  <c r="H168" i="3" s="1"/>
  <c r="H172" i="1"/>
  <c r="I168" i="3" s="1"/>
  <c r="G172" i="1"/>
  <c r="G168" i="3" s="1"/>
  <c r="F172" i="1"/>
  <c r="F168" i="3" s="1"/>
  <c r="E172" i="1"/>
  <c r="E168" i="3" s="1"/>
  <c r="D172" i="1"/>
  <c r="D168" i="3" s="1"/>
  <c r="C172" i="1"/>
  <c r="C168" i="3" s="1"/>
  <c r="B172" i="1"/>
  <c r="B168" i="3" s="1"/>
  <c r="C170" i="1"/>
  <c r="C166" i="3" s="1"/>
  <c r="N164" i="1"/>
  <c r="M164" i="1"/>
  <c r="K164" i="1"/>
  <c r="N163" i="1"/>
  <c r="N201" i="1" s="1"/>
  <c r="M163" i="1"/>
  <c r="L163" i="1"/>
  <c r="I163" i="1"/>
  <c r="H159" i="3" s="1"/>
  <c r="F163" i="1"/>
  <c r="F159" i="3" s="1"/>
  <c r="C163" i="1"/>
  <c r="C159" i="3" s="1"/>
  <c r="D162" i="1"/>
  <c r="D158" i="3" s="1"/>
  <c r="N161" i="1"/>
  <c r="M161" i="1"/>
  <c r="K161" i="1"/>
  <c r="I161" i="1"/>
  <c r="H157" i="3" s="1"/>
  <c r="G161" i="1"/>
  <c r="F161" i="1"/>
  <c r="F157" i="3" s="1"/>
  <c r="E161" i="1"/>
  <c r="E157" i="3" s="1"/>
  <c r="D161" i="1"/>
  <c r="D157" i="3" s="1"/>
  <c r="C161" i="1"/>
  <c r="C157" i="3" s="1"/>
  <c r="B161" i="1"/>
  <c r="F160" i="1"/>
  <c r="F156" i="3" s="1"/>
  <c r="E160" i="1"/>
  <c r="E156" i="3" s="1"/>
  <c r="D160" i="1"/>
  <c r="D156" i="3" s="1"/>
  <c r="F159" i="1"/>
  <c r="F155" i="3" s="1"/>
  <c r="E159" i="1"/>
  <c r="E155" i="3" s="1"/>
  <c r="M156" i="1"/>
  <c r="K156" i="1"/>
  <c r="I156" i="1"/>
  <c r="H152" i="3" s="1"/>
  <c r="H156" i="1"/>
  <c r="I152" i="3" s="1"/>
  <c r="G156" i="1"/>
  <c r="G152" i="3" s="1"/>
  <c r="F156" i="1"/>
  <c r="F152" i="3" s="1"/>
  <c r="E156" i="1"/>
  <c r="E152" i="3" s="1"/>
  <c r="D156" i="1"/>
  <c r="D152" i="3" s="1"/>
  <c r="C156" i="1"/>
  <c r="C152" i="3" s="1"/>
  <c r="B156" i="1"/>
  <c r="B152" i="3" s="1"/>
  <c r="M155" i="1"/>
  <c r="K155" i="1"/>
  <c r="E155" i="1"/>
  <c r="E151" i="3" s="1"/>
  <c r="D155" i="1"/>
  <c r="D151" i="3" s="1"/>
  <c r="C155" i="1"/>
  <c r="C151" i="3" s="1"/>
  <c r="B155" i="1"/>
  <c r="B151" i="3" s="1"/>
  <c r="H154" i="1"/>
  <c r="I150" i="3" s="1"/>
  <c r="H153" i="1"/>
  <c r="I149" i="3" s="1"/>
  <c r="M152" i="1"/>
  <c r="I152" i="1"/>
  <c r="H148" i="3" s="1"/>
  <c r="G152" i="1"/>
  <c r="G148" i="3" s="1"/>
  <c r="F152" i="1"/>
  <c r="F148" i="3" s="1"/>
  <c r="E152" i="1"/>
  <c r="E148" i="3" s="1"/>
  <c r="D152" i="1"/>
  <c r="D148" i="3" s="1"/>
  <c r="C152" i="1"/>
  <c r="C148" i="3" s="1"/>
  <c r="B152" i="1"/>
  <c r="B148" i="3" s="1"/>
  <c r="D151" i="1"/>
  <c r="D147" i="3" s="1"/>
  <c r="C151" i="1"/>
  <c r="C147" i="3" s="1"/>
  <c r="B151" i="1"/>
  <c r="B147" i="3" s="1"/>
  <c r="L150" i="1"/>
  <c r="K150" i="1"/>
  <c r="D150" i="1"/>
  <c r="D146" i="3" s="1"/>
  <c r="B150" i="1"/>
  <c r="B146" i="3" s="1"/>
  <c r="N149" i="1"/>
  <c r="M149" i="1"/>
  <c r="K149" i="1"/>
  <c r="I149" i="1"/>
  <c r="H145" i="3" s="1"/>
  <c r="G149" i="1"/>
  <c r="G145" i="3" s="1"/>
  <c r="F149" i="1"/>
  <c r="F145" i="3" s="1"/>
  <c r="E149" i="1"/>
  <c r="E145" i="3" s="1"/>
  <c r="D149" i="1"/>
  <c r="D145" i="3" s="1"/>
  <c r="M148" i="1"/>
  <c r="G148" i="1"/>
  <c r="G144" i="3" s="1"/>
  <c r="F148" i="1"/>
  <c r="F144" i="3" s="1"/>
  <c r="N147" i="1"/>
  <c r="M147" i="1"/>
  <c r="K147" i="1"/>
  <c r="I147" i="1"/>
  <c r="H143" i="3" s="1"/>
  <c r="H147" i="1"/>
  <c r="I143" i="3" s="1"/>
  <c r="G147" i="1"/>
  <c r="G143" i="3" s="1"/>
  <c r="F147" i="1"/>
  <c r="F143" i="3" s="1"/>
  <c r="E147" i="1"/>
  <c r="E143" i="3" s="1"/>
  <c r="D147" i="1"/>
  <c r="D143" i="3" s="1"/>
  <c r="C147" i="1"/>
  <c r="C143" i="3" s="1"/>
  <c r="B147" i="1"/>
  <c r="B143" i="3" s="1"/>
  <c r="M146" i="1"/>
  <c r="K146" i="1"/>
  <c r="I146" i="1"/>
  <c r="H142" i="3" s="1"/>
  <c r="G146" i="1"/>
  <c r="F146" i="1"/>
  <c r="F142" i="3" s="1"/>
  <c r="N145" i="1"/>
  <c r="M145" i="1"/>
  <c r="K145" i="1"/>
  <c r="I145" i="1"/>
  <c r="H141" i="3" s="1"/>
  <c r="G145" i="1"/>
  <c r="G141" i="3" s="1"/>
  <c r="F145" i="1"/>
  <c r="F141" i="3" s="1"/>
  <c r="N144" i="1"/>
  <c r="M144" i="1"/>
  <c r="K144" i="1"/>
  <c r="I144" i="1"/>
  <c r="H140" i="3" s="1"/>
  <c r="H144" i="1"/>
  <c r="I140" i="3" s="1"/>
  <c r="G144" i="1"/>
  <c r="G140" i="3" s="1"/>
  <c r="F144" i="1"/>
  <c r="F140" i="3" s="1"/>
  <c r="N143" i="1"/>
  <c r="N150" i="1" s="1"/>
  <c r="M143" i="1"/>
  <c r="K143" i="1"/>
  <c r="I143" i="1"/>
  <c r="G143" i="1"/>
  <c r="F143" i="1"/>
  <c r="F139" i="3" s="1"/>
  <c r="F142" i="1"/>
  <c r="F138" i="3" s="1"/>
  <c r="E142" i="1"/>
  <c r="E138" i="3" s="1"/>
  <c r="D142" i="1"/>
  <c r="D138" i="3" s="1"/>
  <c r="C142" i="1"/>
  <c r="C138" i="3" s="1"/>
  <c r="B142" i="1"/>
  <c r="B138" i="3" s="1"/>
  <c r="M141" i="1"/>
  <c r="I141" i="1"/>
  <c r="H137" i="3" s="1"/>
  <c r="G141" i="1"/>
  <c r="G137" i="3" s="1"/>
  <c r="F141" i="1"/>
  <c r="F137" i="3" s="1"/>
  <c r="E141" i="1"/>
  <c r="E137" i="3" s="1"/>
  <c r="D141" i="1"/>
  <c r="D137" i="3" s="1"/>
  <c r="C141" i="1"/>
  <c r="C137" i="3" s="1"/>
  <c r="B141" i="1"/>
  <c r="B137" i="3" s="1"/>
  <c r="L140" i="1"/>
  <c r="F140" i="1"/>
  <c r="F136" i="3" s="1"/>
  <c r="D140" i="1"/>
  <c r="D136" i="3" s="1"/>
  <c r="B140" i="1"/>
  <c r="B136" i="3" s="1"/>
  <c r="G139" i="1"/>
  <c r="G135" i="3" s="1"/>
  <c r="N138" i="1"/>
  <c r="N140" i="1" s="1"/>
  <c r="M138" i="1"/>
  <c r="M140" i="1" s="1"/>
  <c r="K138" i="1"/>
  <c r="J134" i="3" s="1"/>
  <c r="I138" i="1"/>
  <c r="H134" i="3" s="1"/>
  <c r="G138" i="1"/>
  <c r="G134" i="3" s="1"/>
  <c r="F138" i="1"/>
  <c r="F134" i="3" s="1"/>
  <c r="E138" i="1"/>
  <c r="D138" i="1"/>
  <c r="D134" i="3" s="1"/>
  <c r="C137" i="1"/>
  <c r="N136" i="1"/>
  <c r="L136" i="1"/>
  <c r="K136" i="1"/>
  <c r="M135" i="1"/>
  <c r="I135" i="1"/>
  <c r="H131" i="3" s="1"/>
  <c r="H135" i="1"/>
  <c r="I131" i="3" s="1"/>
  <c r="G135" i="1"/>
  <c r="G131" i="3" s="1"/>
  <c r="F135" i="1"/>
  <c r="F131" i="3" s="1"/>
  <c r="E135" i="1"/>
  <c r="E131" i="3" s="1"/>
  <c r="D135" i="1"/>
  <c r="D131" i="3" s="1"/>
  <c r="C135" i="1"/>
  <c r="C131" i="3" s="1"/>
  <c r="B135" i="1"/>
  <c r="B131" i="3" s="1"/>
  <c r="M134" i="1"/>
  <c r="M136" i="1" s="1"/>
  <c r="I134" i="1"/>
  <c r="H130" i="3" s="1"/>
  <c r="G134" i="1"/>
  <c r="G130" i="3" s="1"/>
  <c r="F134" i="1"/>
  <c r="F130" i="3" s="1"/>
  <c r="E134" i="1"/>
  <c r="D134" i="1"/>
  <c r="D130" i="3" s="1"/>
  <c r="C134" i="1"/>
  <c r="B134" i="1"/>
  <c r="B130" i="3" s="1"/>
  <c r="H133" i="1"/>
  <c r="I129" i="3" s="1"/>
  <c r="G133" i="1"/>
  <c r="G129" i="3" s="1"/>
  <c r="B133" i="1"/>
  <c r="B129" i="3" s="1"/>
  <c r="N132" i="1"/>
  <c r="L132" i="1"/>
  <c r="K132" i="1"/>
  <c r="I132" i="1"/>
  <c r="H128" i="3" s="1"/>
  <c r="D132" i="1"/>
  <c r="D128" i="3" s="1"/>
  <c r="B132" i="1"/>
  <c r="B128" i="3" s="1"/>
  <c r="M131" i="1"/>
  <c r="M132" i="1" s="1"/>
  <c r="I131" i="1"/>
  <c r="H127" i="3" s="1"/>
  <c r="F131" i="1"/>
  <c r="F127" i="3" s="1"/>
  <c r="E131" i="1"/>
  <c r="E127" i="3" s="1"/>
  <c r="M130" i="1"/>
  <c r="I130" i="1"/>
  <c r="H126" i="3" s="1"/>
  <c r="H130" i="1"/>
  <c r="I126" i="3" s="1"/>
  <c r="G130" i="1"/>
  <c r="G126" i="3" s="1"/>
  <c r="F130" i="1"/>
  <c r="F126" i="3" s="1"/>
  <c r="E130" i="1"/>
  <c r="E126" i="3" s="1"/>
  <c r="D130" i="1"/>
  <c r="D126" i="3" s="1"/>
  <c r="C130" i="1"/>
  <c r="C126" i="3" s="1"/>
  <c r="B130" i="1"/>
  <c r="B126" i="3" s="1"/>
  <c r="N128" i="1"/>
  <c r="M128" i="1"/>
  <c r="K128" i="1"/>
  <c r="I128" i="1"/>
  <c r="H124" i="3" s="1"/>
  <c r="H128" i="1"/>
  <c r="I124" i="3" s="1"/>
  <c r="G128" i="1"/>
  <c r="G124" i="3" s="1"/>
  <c r="F128" i="1"/>
  <c r="F124" i="3" s="1"/>
  <c r="E128" i="1"/>
  <c r="E124" i="3" s="1"/>
  <c r="D128" i="1"/>
  <c r="D124" i="3" s="1"/>
  <c r="C128" i="1"/>
  <c r="C124" i="3" s="1"/>
  <c r="B128" i="1"/>
  <c r="B124" i="3" s="1"/>
  <c r="N127" i="1"/>
  <c r="K127" i="1"/>
  <c r="E127" i="1"/>
  <c r="E123" i="3" s="1"/>
  <c r="M126" i="1"/>
  <c r="G126" i="1"/>
  <c r="H126" i="1" s="1"/>
  <c r="N125" i="1"/>
  <c r="L125" i="1"/>
  <c r="L127" i="1" s="1"/>
  <c r="L157" i="1" s="1"/>
  <c r="K125" i="1"/>
  <c r="I125" i="1"/>
  <c r="H122" i="3" s="1"/>
  <c r="E125" i="1"/>
  <c r="E122" i="3" s="1"/>
  <c r="D125" i="1"/>
  <c r="D122" i="3" s="1"/>
  <c r="C125" i="1"/>
  <c r="C122" i="3" s="1"/>
  <c r="B125" i="1"/>
  <c r="B122" i="3" s="1"/>
  <c r="M124" i="1"/>
  <c r="I124" i="1"/>
  <c r="H121" i="3" s="1"/>
  <c r="G124" i="1"/>
  <c r="G121" i="3" s="1"/>
  <c r="F124" i="1"/>
  <c r="F121" i="3" s="1"/>
  <c r="M123" i="1"/>
  <c r="M125" i="1" s="1"/>
  <c r="M127" i="1" s="1"/>
  <c r="I123" i="1"/>
  <c r="H120" i="3" s="1"/>
  <c r="M122" i="1"/>
  <c r="B121" i="1"/>
  <c r="B118" i="3" s="1"/>
  <c r="M120" i="1"/>
  <c r="I120" i="1"/>
  <c r="H117" i="3" s="1"/>
  <c r="G120" i="1"/>
  <c r="G117" i="3" s="1"/>
  <c r="F120" i="1"/>
  <c r="F117" i="3" s="1"/>
  <c r="E120" i="1"/>
  <c r="E117" i="3" s="1"/>
  <c r="D120" i="1"/>
  <c r="D117" i="3" s="1"/>
  <c r="C120" i="1"/>
  <c r="C117" i="3" s="1"/>
  <c r="B120" i="1"/>
  <c r="B117" i="3" s="1"/>
  <c r="M119" i="1"/>
  <c r="K119" i="1"/>
  <c r="I119" i="1"/>
  <c r="H116" i="3" s="1"/>
  <c r="H119" i="1"/>
  <c r="I116" i="3" s="1"/>
  <c r="G119" i="1"/>
  <c r="G116" i="3" s="1"/>
  <c r="F119" i="1"/>
  <c r="F116" i="3" s="1"/>
  <c r="E119" i="1"/>
  <c r="E116" i="3" s="1"/>
  <c r="D119" i="1"/>
  <c r="D116" i="3" s="1"/>
  <c r="C119" i="1"/>
  <c r="C116" i="3" s="1"/>
  <c r="B119" i="1"/>
  <c r="B116" i="3" s="1"/>
  <c r="N118" i="1"/>
  <c r="M118" i="1"/>
  <c r="I118" i="1"/>
  <c r="H115" i="3" s="1"/>
  <c r="G118" i="1"/>
  <c r="H118" i="1" s="1"/>
  <c r="F118" i="1"/>
  <c r="F115" i="3" s="1"/>
  <c r="E118" i="1"/>
  <c r="E115" i="3" s="1"/>
  <c r="D118" i="1"/>
  <c r="C118" i="1"/>
  <c r="C115" i="3" s="1"/>
  <c r="B118" i="1"/>
  <c r="B115" i="3" s="1"/>
  <c r="M117" i="1"/>
  <c r="F117" i="1"/>
  <c r="F114" i="3" s="1"/>
  <c r="E117" i="1"/>
  <c r="B117" i="1"/>
  <c r="B114" i="3" s="1"/>
  <c r="I114" i="1"/>
  <c r="H111" i="3" s="1"/>
  <c r="G114" i="1"/>
  <c r="G111" i="3" s="1"/>
  <c r="F114" i="1"/>
  <c r="F111" i="3" s="1"/>
  <c r="N113" i="1"/>
  <c r="M113" i="1"/>
  <c r="K113" i="1"/>
  <c r="I113" i="1"/>
  <c r="H110" i="3" s="1"/>
  <c r="H113" i="1"/>
  <c r="I110" i="3" s="1"/>
  <c r="G113" i="1"/>
  <c r="G110" i="3" s="1"/>
  <c r="F113" i="1"/>
  <c r="F110" i="3" s="1"/>
  <c r="E113" i="1"/>
  <c r="E110" i="3" s="1"/>
  <c r="N112" i="1"/>
  <c r="M112" i="1"/>
  <c r="K112" i="1"/>
  <c r="I112" i="1"/>
  <c r="H109" i="3" s="1"/>
  <c r="H112" i="1"/>
  <c r="I109" i="3" s="1"/>
  <c r="G112" i="1"/>
  <c r="G109" i="3" s="1"/>
  <c r="F112" i="1"/>
  <c r="F109" i="3" s="1"/>
  <c r="E112" i="1"/>
  <c r="E109" i="3" s="1"/>
  <c r="D112" i="1"/>
  <c r="D109" i="3" s="1"/>
  <c r="C112" i="1"/>
  <c r="C109" i="3" s="1"/>
  <c r="B112" i="1"/>
  <c r="B109" i="3" s="1"/>
  <c r="I111" i="1"/>
  <c r="H108" i="3" s="1"/>
  <c r="G111" i="1"/>
  <c r="G108" i="3" s="1"/>
  <c r="F111" i="1"/>
  <c r="F108" i="3" s="1"/>
  <c r="E111" i="1"/>
  <c r="E108" i="3" s="1"/>
  <c r="D111" i="1"/>
  <c r="D108" i="3" s="1"/>
  <c r="C111" i="1"/>
  <c r="C108" i="3" s="1"/>
  <c r="B111" i="1"/>
  <c r="B108" i="3" s="1"/>
  <c r="G110" i="1"/>
  <c r="G107" i="3" s="1"/>
  <c r="F110" i="1"/>
  <c r="F107" i="3" s="1"/>
  <c r="E110" i="1"/>
  <c r="E107" i="3" s="1"/>
  <c r="D110" i="1"/>
  <c r="D107" i="3" s="1"/>
  <c r="C110" i="1"/>
  <c r="C107" i="3" s="1"/>
  <c r="B110" i="1"/>
  <c r="B107" i="3" s="1"/>
  <c r="L106" i="1"/>
  <c r="F106" i="1"/>
  <c r="F103" i="3" s="1"/>
  <c r="C106" i="1"/>
  <c r="C103" i="3" s="1"/>
  <c r="M105" i="1"/>
  <c r="I105" i="1"/>
  <c r="H102" i="3" s="1"/>
  <c r="E105" i="1"/>
  <c r="E102" i="3" s="1"/>
  <c r="D105" i="1"/>
  <c r="D102" i="3" s="1"/>
  <c r="C105" i="1"/>
  <c r="C102" i="3" s="1"/>
  <c r="B105" i="1"/>
  <c r="B102" i="3" s="1"/>
  <c r="N104" i="1"/>
  <c r="N106" i="1" s="1"/>
  <c r="M104" i="1"/>
  <c r="M106" i="1" s="1"/>
  <c r="K104" i="1"/>
  <c r="I104" i="1"/>
  <c r="H101" i="3" s="1"/>
  <c r="G104" i="1"/>
  <c r="G101" i="3" s="1"/>
  <c r="F104" i="1"/>
  <c r="F101" i="3" s="1"/>
  <c r="E104" i="1"/>
  <c r="E101" i="3" s="1"/>
  <c r="D104" i="1"/>
  <c r="D101" i="3" s="1"/>
  <c r="C104" i="1"/>
  <c r="C101" i="3" s="1"/>
  <c r="B104" i="1"/>
  <c r="B101" i="3" s="1"/>
  <c r="M103" i="1"/>
  <c r="L103" i="1"/>
  <c r="K103" i="1"/>
  <c r="H103" i="1"/>
  <c r="I100" i="3" s="1"/>
  <c r="G103" i="1"/>
  <c r="G100" i="3" s="1"/>
  <c r="E103" i="1"/>
  <c r="E100" i="3" s="1"/>
  <c r="D103" i="1"/>
  <c r="D100" i="3" s="1"/>
  <c r="C103" i="1"/>
  <c r="C100" i="3" s="1"/>
  <c r="I101" i="1"/>
  <c r="H98" i="3" s="1"/>
  <c r="F101" i="1"/>
  <c r="F98" i="3" s="1"/>
  <c r="E101" i="1"/>
  <c r="E98" i="3" s="1"/>
  <c r="D101" i="1"/>
  <c r="D98" i="3" s="1"/>
  <c r="B101" i="1"/>
  <c r="B98" i="3" s="1"/>
  <c r="C100" i="1"/>
  <c r="C97" i="3" s="1"/>
  <c r="N99" i="1"/>
  <c r="N103" i="1" s="1"/>
  <c r="M98" i="1"/>
  <c r="S96" i="1"/>
  <c r="O94" i="3" s="1"/>
  <c r="R96" i="1"/>
  <c r="N94" i="3" s="1"/>
  <c r="N96" i="1"/>
  <c r="M96" i="1"/>
  <c r="I96" i="1"/>
  <c r="H94" i="3" s="1"/>
  <c r="G96" i="1"/>
  <c r="G94" i="3" s="1"/>
  <c r="F96" i="1"/>
  <c r="F94" i="3" s="1"/>
  <c r="E96" i="1"/>
  <c r="E94" i="3" s="1"/>
  <c r="S95" i="1"/>
  <c r="O93" i="3" s="1"/>
  <c r="R95" i="1"/>
  <c r="N93" i="3" s="1"/>
  <c r="M95" i="1"/>
  <c r="K95" i="1"/>
  <c r="I95" i="1"/>
  <c r="H93" i="3" s="1"/>
  <c r="G95" i="1"/>
  <c r="G93" i="3" s="1"/>
  <c r="F95" i="1"/>
  <c r="F93" i="3" s="1"/>
  <c r="E95" i="1"/>
  <c r="E93" i="3" s="1"/>
  <c r="S94" i="1"/>
  <c r="O92" i="3" s="1"/>
  <c r="R94" i="1"/>
  <c r="N92" i="3" s="1"/>
  <c r="N94" i="1"/>
  <c r="M94" i="1"/>
  <c r="K94" i="1"/>
  <c r="I94" i="1"/>
  <c r="H92" i="3" s="1"/>
  <c r="G94" i="1"/>
  <c r="G92" i="3" s="1"/>
  <c r="F94" i="1"/>
  <c r="F92" i="3" s="1"/>
  <c r="E94" i="1"/>
  <c r="E92" i="3" s="1"/>
  <c r="D94" i="1"/>
  <c r="D92" i="3" s="1"/>
  <c r="C94" i="1"/>
  <c r="C92" i="3" s="1"/>
  <c r="B94" i="1"/>
  <c r="B92" i="3" s="1"/>
  <c r="S93" i="1"/>
  <c r="O91" i="3" s="1"/>
  <c r="R93" i="1"/>
  <c r="N91" i="3" s="1"/>
  <c r="N93" i="1"/>
  <c r="M93" i="1"/>
  <c r="I93" i="1"/>
  <c r="H91" i="3" s="1"/>
  <c r="G93" i="1"/>
  <c r="G91" i="3" s="1"/>
  <c r="F93" i="1"/>
  <c r="F91" i="3" s="1"/>
  <c r="E93" i="1"/>
  <c r="E91" i="3" s="1"/>
  <c r="D93" i="1"/>
  <c r="D91" i="3" s="1"/>
  <c r="C93" i="1"/>
  <c r="C91" i="3" s="1"/>
  <c r="B93" i="1"/>
  <c r="B91" i="3" s="1"/>
  <c r="S92" i="1"/>
  <c r="O90" i="3" s="1"/>
  <c r="R92" i="1"/>
  <c r="N90" i="3" s="1"/>
  <c r="M92" i="1"/>
  <c r="K92" i="1"/>
  <c r="I92" i="1"/>
  <c r="H90" i="3" s="1"/>
  <c r="H92" i="1"/>
  <c r="I90" i="3" s="1"/>
  <c r="G92" i="1"/>
  <c r="G90" i="3" s="1"/>
  <c r="F92" i="1"/>
  <c r="F90" i="3" s="1"/>
  <c r="E92" i="1"/>
  <c r="E90" i="3" s="1"/>
  <c r="D92" i="1"/>
  <c r="D90" i="3" s="1"/>
  <c r="C92" i="1"/>
  <c r="C90" i="3" s="1"/>
  <c r="B92" i="1"/>
  <c r="B90" i="3" s="1"/>
  <c r="S91" i="1"/>
  <c r="O89" i="3" s="1"/>
  <c r="R91" i="1"/>
  <c r="N89" i="3" s="1"/>
  <c r="M91" i="1"/>
  <c r="K91" i="1"/>
  <c r="I91" i="1"/>
  <c r="H89" i="3" s="1"/>
  <c r="G91" i="1"/>
  <c r="G89" i="3" s="1"/>
  <c r="F91" i="1"/>
  <c r="F89" i="3" s="1"/>
  <c r="E91" i="1"/>
  <c r="E89" i="3" s="1"/>
  <c r="D91" i="1"/>
  <c r="D89" i="3" s="1"/>
  <c r="C91" i="1"/>
  <c r="C89" i="3" s="1"/>
  <c r="B91" i="1"/>
  <c r="B89" i="3" s="1"/>
  <c r="R90" i="1"/>
  <c r="N88" i="3" s="1"/>
  <c r="N90" i="1"/>
  <c r="M90" i="1"/>
  <c r="K90" i="1"/>
  <c r="I90" i="1"/>
  <c r="H88" i="3" s="1"/>
  <c r="H90" i="1"/>
  <c r="I88" i="3" s="1"/>
  <c r="G90" i="1"/>
  <c r="G88" i="3" s="1"/>
  <c r="F90" i="1"/>
  <c r="F88" i="3" s="1"/>
  <c r="E90" i="1"/>
  <c r="E88" i="3" s="1"/>
  <c r="D90" i="1"/>
  <c r="D88" i="3" s="1"/>
  <c r="C90" i="1"/>
  <c r="C88" i="3" s="1"/>
  <c r="B90" i="1"/>
  <c r="B88" i="3" s="1"/>
  <c r="L89" i="1"/>
  <c r="F89" i="1"/>
  <c r="F87" i="3" s="1"/>
  <c r="E89" i="1"/>
  <c r="E87" i="3" s="1"/>
  <c r="N88" i="1"/>
  <c r="M88" i="1"/>
  <c r="K88" i="1"/>
  <c r="I88" i="1"/>
  <c r="I89" i="1" s="1"/>
  <c r="H87" i="3" s="1"/>
  <c r="E88" i="1"/>
  <c r="E86" i="3" s="1"/>
  <c r="D88" i="1"/>
  <c r="D86" i="3" s="1"/>
  <c r="C88" i="1"/>
  <c r="C86" i="3" s="1"/>
  <c r="B88" i="1"/>
  <c r="B86" i="3" s="1"/>
  <c r="R87" i="1"/>
  <c r="N85" i="3" s="1"/>
  <c r="M87" i="1"/>
  <c r="M89" i="1" s="1"/>
  <c r="K87" i="1"/>
  <c r="K89" i="1" s="1"/>
  <c r="I87" i="1"/>
  <c r="H85" i="3" s="1"/>
  <c r="G87" i="1"/>
  <c r="G85" i="3" s="1"/>
  <c r="F87" i="1"/>
  <c r="F85" i="3" s="1"/>
  <c r="E87" i="1"/>
  <c r="E85" i="3" s="1"/>
  <c r="D87" i="1"/>
  <c r="D85" i="3" s="1"/>
  <c r="C87" i="1"/>
  <c r="C85" i="3" s="1"/>
  <c r="B87" i="1"/>
  <c r="B85" i="3" s="1"/>
  <c r="L86" i="1"/>
  <c r="L97" i="1" s="1"/>
  <c r="G86" i="1"/>
  <c r="G84" i="3" s="1"/>
  <c r="F86" i="1"/>
  <c r="F84" i="3" s="1"/>
  <c r="C86" i="1"/>
  <c r="C84" i="3" s="1"/>
  <c r="M85" i="1"/>
  <c r="I85" i="1"/>
  <c r="H83" i="3" s="1"/>
  <c r="H85" i="1"/>
  <c r="I83" i="3" s="1"/>
  <c r="G85" i="1"/>
  <c r="G83" i="3" s="1"/>
  <c r="F85" i="1"/>
  <c r="F83" i="3" s="1"/>
  <c r="E85" i="1"/>
  <c r="E83" i="3" s="1"/>
  <c r="D85" i="1"/>
  <c r="D83" i="3" s="1"/>
  <c r="C85" i="1"/>
  <c r="C83" i="3" s="1"/>
  <c r="B85" i="1"/>
  <c r="B83" i="3" s="1"/>
  <c r="M84" i="1"/>
  <c r="M86" i="1" s="1"/>
  <c r="I84" i="1"/>
  <c r="H82" i="3" s="1"/>
  <c r="G84" i="1"/>
  <c r="G82" i="3" s="1"/>
  <c r="F84" i="1"/>
  <c r="F82" i="3" s="1"/>
  <c r="E84" i="1"/>
  <c r="E82" i="3" s="1"/>
  <c r="D84" i="1"/>
  <c r="D82" i="3" s="1"/>
  <c r="C84" i="1"/>
  <c r="C82" i="3" s="1"/>
  <c r="B84" i="1"/>
  <c r="B82" i="3" s="1"/>
  <c r="D83" i="1"/>
  <c r="D81" i="3" s="1"/>
  <c r="L81" i="1"/>
  <c r="K81" i="1"/>
  <c r="I81" i="1"/>
  <c r="H79" i="3" s="1"/>
  <c r="M80" i="1"/>
  <c r="I80" i="1"/>
  <c r="H78" i="3" s="1"/>
  <c r="G80" i="1"/>
  <c r="G78" i="3" s="1"/>
  <c r="F80" i="1"/>
  <c r="F78" i="3" s="1"/>
  <c r="E80" i="1"/>
  <c r="E78" i="3" s="1"/>
  <c r="M79" i="1"/>
  <c r="I79" i="1"/>
  <c r="H77" i="3" s="1"/>
  <c r="M78" i="1"/>
  <c r="I78" i="1"/>
  <c r="H76" i="3" s="1"/>
  <c r="G78" i="1"/>
  <c r="G76" i="3" s="1"/>
  <c r="M77" i="1"/>
  <c r="I77" i="1"/>
  <c r="H75" i="3" s="1"/>
  <c r="H77" i="1"/>
  <c r="I75" i="3" s="1"/>
  <c r="G77" i="1"/>
  <c r="G75" i="3" s="1"/>
  <c r="F77" i="1"/>
  <c r="F75" i="3" s="1"/>
  <c r="E77" i="1"/>
  <c r="E75" i="3" s="1"/>
  <c r="D77" i="1"/>
  <c r="D75" i="3" s="1"/>
  <c r="C77" i="1"/>
  <c r="C75" i="3" s="1"/>
  <c r="B77" i="1"/>
  <c r="B75" i="3" s="1"/>
  <c r="M76" i="1"/>
  <c r="I76" i="1"/>
  <c r="H74" i="3" s="1"/>
  <c r="G76" i="1"/>
  <c r="G74" i="3" s="1"/>
  <c r="F76" i="1"/>
  <c r="F74" i="3" s="1"/>
  <c r="E76" i="1"/>
  <c r="E74" i="3" s="1"/>
  <c r="D76" i="1"/>
  <c r="D74" i="3" s="1"/>
  <c r="C76" i="1"/>
  <c r="C74" i="3" s="1"/>
  <c r="B76" i="1"/>
  <c r="B74" i="3" s="1"/>
  <c r="M75" i="1"/>
  <c r="I75" i="1"/>
  <c r="H73" i="3" s="1"/>
  <c r="H75" i="1"/>
  <c r="I73" i="3" s="1"/>
  <c r="G75" i="1"/>
  <c r="G73" i="3" s="1"/>
  <c r="F75" i="1"/>
  <c r="F73" i="3" s="1"/>
  <c r="E75" i="1"/>
  <c r="E73" i="3" s="1"/>
  <c r="D75" i="1"/>
  <c r="D73" i="3" s="1"/>
  <c r="C75" i="1"/>
  <c r="C73" i="3" s="1"/>
  <c r="B75" i="1"/>
  <c r="B73" i="3" s="1"/>
  <c r="N74" i="1"/>
  <c r="N81" i="1" s="1"/>
  <c r="M74" i="1"/>
  <c r="M81" i="1" s="1"/>
  <c r="K74" i="1"/>
  <c r="J72" i="3" s="1"/>
  <c r="I74" i="1"/>
  <c r="H72" i="3" s="1"/>
  <c r="H74" i="1"/>
  <c r="I72" i="3" s="1"/>
  <c r="G74" i="1"/>
  <c r="G72" i="3" s="1"/>
  <c r="F74" i="1"/>
  <c r="F72" i="3" s="1"/>
  <c r="E74" i="1"/>
  <c r="E72" i="3" s="1"/>
  <c r="D74" i="1"/>
  <c r="D72" i="3" s="1"/>
  <c r="C74" i="1"/>
  <c r="C72" i="3" s="1"/>
  <c r="B74" i="1"/>
  <c r="B72" i="3" s="1"/>
  <c r="P71" i="1"/>
  <c r="L69" i="3" s="1"/>
  <c r="M71" i="1"/>
  <c r="I71" i="1"/>
  <c r="H69" i="3" s="1"/>
  <c r="G71" i="1"/>
  <c r="G69" i="3" s="1"/>
  <c r="F71" i="1"/>
  <c r="F69" i="3" s="1"/>
  <c r="E71" i="1"/>
  <c r="E69" i="3" s="1"/>
  <c r="D71" i="1"/>
  <c r="D69" i="3" s="1"/>
  <c r="C71" i="1"/>
  <c r="C69" i="3" s="1"/>
  <c r="B71" i="1"/>
  <c r="B69" i="3" s="1"/>
  <c r="O70" i="1"/>
  <c r="K68" i="3" s="1"/>
  <c r="M70" i="1"/>
  <c r="I70" i="1"/>
  <c r="H68" i="3" s="1"/>
  <c r="H70" i="1"/>
  <c r="G70" i="1"/>
  <c r="G68" i="3" s="1"/>
  <c r="F70" i="1"/>
  <c r="F68" i="3" s="1"/>
  <c r="E70" i="1"/>
  <c r="E68" i="3" s="1"/>
  <c r="D70" i="1"/>
  <c r="D68" i="3" s="1"/>
  <c r="C70" i="1"/>
  <c r="C68" i="3" s="1"/>
  <c r="B70" i="1"/>
  <c r="B68" i="3" s="1"/>
  <c r="M69" i="1"/>
  <c r="I69" i="1"/>
  <c r="H67" i="3" s="1"/>
  <c r="G69" i="1"/>
  <c r="G67" i="3" s="1"/>
  <c r="F69" i="1"/>
  <c r="F67" i="3" s="1"/>
  <c r="E69" i="1"/>
  <c r="E67" i="3" s="1"/>
  <c r="D69" i="1"/>
  <c r="D67" i="3" s="1"/>
  <c r="C69" i="1"/>
  <c r="C67" i="3" s="1"/>
  <c r="B69" i="1"/>
  <c r="B67" i="3" s="1"/>
  <c r="S68" i="1"/>
  <c r="N66" i="3" s="1"/>
  <c r="P68" i="1"/>
  <c r="L66" i="3" s="1"/>
  <c r="M68" i="1"/>
  <c r="K68" i="1"/>
  <c r="J66" i="3" s="1"/>
  <c r="I68" i="1"/>
  <c r="H66" i="3" s="1"/>
  <c r="H68" i="1"/>
  <c r="G68" i="1"/>
  <c r="G66" i="3" s="1"/>
  <c r="F68" i="1"/>
  <c r="F66" i="3" s="1"/>
  <c r="E68" i="1"/>
  <c r="E66" i="3" s="1"/>
  <c r="D68" i="1"/>
  <c r="D66" i="3" s="1"/>
  <c r="C68" i="1"/>
  <c r="C66" i="3" s="1"/>
  <c r="B68" i="1"/>
  <c r="B66" i="3" s="1"/>
  <c r="L67" i="1"/>
  <c r="L72" i="1" s="1"/>
  <c r="I67" i="1"/>
  <c r="H65" i="3" s="1"/>
  <c r="G66" i="1"/>
  <c r="G64" i="3" s="1"/>
  <c r="F66" i="1"/>
  <c r="F64" i="3" s="1"/>
  <c r="E66" i="1"/>
  <c r="E64" i="3" s="1"/>
  <c r="D66" i="1"/>
  <c r="D64" i="3" s="1"/>
  <c r="C66" i="1"/>
  <c r="C64" i="3" s="1"/>
  <c r="B66" i="1"/>
  <c r="B64" i="3" s="1"/>
  <c r="M65" i="1"/>
  <c r="G65" i="1"/>
  <c r="G63" i="3" s="1"/>
  <c r="F65" i="1"/>
  <c r="F63" i="3" s="1"/>
  <c r="E65" i="1"/>
  <c r="E63" i="3" s="1"/>
  <c r="D65" i="1"/>
  <c r="D63" i="3" s="1"/>
  <c r="C65" i="1"/>
  <c r="C63" i="3" s="1"/>
  <c r="B65" i="1"/>
  <c r="B63" i="3" s="1"/>
  <c r="P64" i="1"/>
  <c r="K63" i="3" s="1"/>
  <c r="M64" i="1"/>
  <c r="H64" i="1"/>
  <c r="I62" i="3" s="1"/>
  <c r="G64" i="1"/>
  <c r="G62" i="3" s="1"/>
  <c r="F64" i="1"/>
  <c r="F62" i="3" s="1"/>
  <c r="E64" i="1"/>
  <c r="E62" i="3" s="1"/>
  <c r="D64" i="1"/>
  <c r="D62" i="3" s="1"/>
  <c r="C64" i="1"/>
  <c r="C62" i="3" s="1"/>
  <c r="B64" i="1"/>
  <c r="B62" i="3" s="1"/>
  <c r="Q63" i="1"/>
  <c r="M61" i="3" s="1"/>
  <c r="M63" i="1"/>
  <c r="M67" i="1" s="1"/>
  <c r="I63" i="1"/>
  <c r="H61" i="3" s="1"/>
  <c r="H63" i="1"/>
  <c r="I61" i="3" s="1"/>
  <c r="G63" i="1"/>
  <c r="G61" i="3" s="1"/>
  <c r="F63" i="1"/>
  <c r="F61" i="3" s="1"/>
  <c r="E63" i="1"/>
  <c r="E61" i="3" s="1"/>
  <c r="D63" i="1"/>
  <c r="D61" i="3" s="1"/>
  <c r="C63" i="1"/>
  <c r="C61" i="3" s="1"/>
  <c r="B63" i="1"/>
  <c r="B61" i="3" s="1"/>
  <c r="Q62" i="1"/>
  <c r="M60" i="3" s="1"/>
  <c r="M62" i="1"/>
  <c r="K62" i="1"/>
  <c r="I62" i="1"/>
  <c r="H60" i="3" s="1"/>
  <c r="H62" i="1"/>
  <c r="G62" i="1"/>
  <c r="G60" i="3" s="1"/>
  <c r="F62" i="1"/>
  <c r="F60" i="3" s="1"/>
  <c r="E62" i="1"/>
  <c r="E60" i="3" s="1"/>
  <c r="D62" i="1"/>
  <c r="D60" i="3" s="1"/>
  <c r="C62" i="1"/>
  <c r="C60" i="3" s="1"/>
  <c r="B62" i="1"/>
  <c r="B60" i="3" s="1"/>
  <c r="S61" i="1"/>
  <c r="N59" i="3" s="1"/>
  <c r="M61" i="1"/>
  <c r="K61" i="1"/>
  <c r="I61" i="1"/>
  <c r="H59" i="3" s="1"/>
  <c r="G61" i="1"/>
  <c r="G59" i="3" s="1"/>
  <c r="F61" i="1"/>
  <c r="F59" i="3" s="1"/>
  <c r="E61" i="1"/>
  <c r="E59" i="3" s="1"/>
  <c r="D61" i="1"/>
  <c r="D59" i="3" s="1"/>
  <c r="C61" i="1"/>
  <c r="C59" i="3" s="1"/>
  <c r="B61" i="1"/>
  <c r="B59" i="3" s="1"/>
  <c r="M59" i="1"/>
  <c r="E59" i="1"/>
  <c r="E57" i="3" s="1"/>
  <c r="D59" i="1"/>
  <c r="D57" i="3" s="1"/>
  <c r="C59" i="1"/>
  <c r="C57" i="3" s="1"/>
  <c r="B59" i="1"/>
  <c r="B57" i="3" s="1"/>
  <c r="N52" i="1"/>
  <c r="L52" i="1"/>
  <c r="K52" i="1"/>
  <c r="J51" i="3" s="1"/>
  <c r="N51" i="1"/>
  <c r="M51" i="1"/>
  <c r="M50" i="1"/>
  <c r="M52" i="1" s="1"/>
  <c r="N48" i="1"/>
  <c r="K48" i="1"/>
  <c r="I48" i="1"/>
  <c r="H47" i="3" s="1"/>
  <c r="G48" i="1"/>
  <c r="G47" i="3" s="1"/>
  <c r="D48" i="1"/>
  <c r="D47" i="3" s="1"/>
  <c r="B47" i="1"/>
  <c r="B46" i="3" s="1"/>
  <c r="D46" i="1"/>
  <c r="D45" i="3" s="1"/>
  <c r="C46" i="1"/>
  <c r="C45" i="3" s="1"/>
  <c r="B46" i="1"/>
  <c r="B45" i="3" s="1"/>
  <c r="C45" i="1"/>
  <c r="C43" i="3" s="1"/>
  <c r="B45" i="1"/>
  <c r="B43" i="3" s="1"/>
  <c r="D44" i="1"/>
  <c r="D42" i="3" s="1"/>
  <c r="C44" i="1"/>
  <c r="C42" i="3" s="1"/>
  <c r="B44" i="1"/>
  <c r="B42" i="3" s="1"/>
  <c r="I42" i="1"/>
  <c r="H40" i="3" s="1"/>
  <c r="H42" i="1"/>
  <c r="I40" i="3" s="1"/>
  <c r="G42" i="1"/>
  <c r="G40" i="3" s="1"/>
  <c r="F42" i="1"/>
  <c r="F40" i="3" s="1"/>
  <c r="E42" i="1"/>
  <c r="E40" i="3" s="1"/>
  <c r="D42" i="1"/>
  <c r="D40" i="3" s="1"/>
  <c r="C42" i="1"/>
  <c r="C40" i="3" s="1"/>
  <c r="B42" i="1"/>
  <c r="B40" i="3" s="1"/>
  <c r="L40" i="1"/>
  <c r="M39" i="1"/>
  <c r="M38" i="1"/>
  <c r="M37" i="1"/>
  <c r="K37" i="1"/>
  <c r="J37" i="3" s="1"/>
  <c r="I37" i="1"/>
  <c r="H37" i="3" s="1"/>
  <c r="H37" i="1"/>
  <c r="I37" i="3" s="1"/>
  <c r="G37" i="1"/>
  <c r="G37" i="3" s="1"/>
  <c r="F37" i="1"/>
  <c r="F37" i="3" s="1"/>
  <c r="E37" i="1"/>
  <c r="E37" i="3" s="1"/>
  <c r="D37" i="1"/>
  <c r="D37" i="3" s="1"/>
  <c r="C37" i="1"/>
  <c r="C37" i="3" s="1"/>
  <c r="B37" i="1"/>
  <c r="B37" i="3" s="1"/>
  <c r="M36" i="1"/>
  <c r="I36" i="1"/>
  <c r="H36" i="3" s="1"/>
  <c r="G36" i="1"/>
  <c r="G36" i="3" s="1"/>
  <c r="F36" i="1"/>
  <c r="F36" i="3" s="1"/>
  <c r="E36" i="1"/>
  <c r="E36" i="3" s="1"/>
  <c r="D36" i="1"/>
  <c r="D36" i="3" s="1"/>
  <c r="C36" i="1"/>
  <c r="C36" i="3" s="1"/>
  <c r="B36" i="1"/>
  <c r="B36" i="3" s="1"/>
  <c r="M35" i="1"/>
  <c r="D35" i="1"/>
  <c r="D35" i="3" s="1"/>
  <c r="C35" i="1"/>
  <c r="C35" i="3" s="1"/>
  <c r="N34" i="1"/>
  <c r="N40" i="1" s="1"/>
  <c r="L34" i="1"/>
  <c r="K34" i="1"/>
  <c r="J34" i="3" s="1"/>
  <c r="I34" i="1"/>
  <c r="H34" i="3" s="1"/>
  <c r="E34" i="1"/>
  <c r="E34" i="3" s="1"/>
  <c r="B34" i="1"/>
  <c r="B34" i="3" s="1"/>
  <c r="G33" i="1"/>
  <c r="G33" i="3" s="1"/>
  <c r="F33" i="1"/>
  <c r="F33" i="3" s="1"/>
  <c r="E33" i="1"/>
  <c r="E33" i="3" s="1"/>
  <c r="D33" i="1"/>
  <c r="D33" i="3" s="1"/>
  <c r="M32" i="1"/>
  <c r="G32" i="1"/>
  <c r="G32" i="3" s="1"/>
  <c r="F32" i="1"/>
  <c r="F32" i="3" s="1"/>
  <c r="D31" i="1"/>
  <c r="D31" i="3" s="1"/>
  <c r="M30" i="1"/>
  <c r="I30" i="1"/>
  <c r="H30" i="3" s="1"/>
  <c r="H30" i="1"/>
  <c r="I30" i="3" s="1"/>
  <c r="G30" i="1"/>
  <c r="G30" i="3" s="1"/>
  <c r="F30" i="1"/>
  <c r="F30" i="3" s="1"/>
  <c r="E30" i="1"/>
  <c r="E30" i="3" s="1"/>
  <c r="D30" i="1"/>
  <c r="D30" i="3" s="1"/>
  <c r="M29" i="1"/>
  <c r="F29" i="1"/>
  <c r="F29" i="3" s="1"/>
  <c r="E29" i="1"/>
  <c r="E29" i="3" s="1"/>
  <c r="D29" i="1"/>
  <c r="D29" i="3" s="1"/>
  <c r="G28" i="1"/>
  <c r="G28" i="3" s="1"/>
  <c r="F28" i="1"/>
  <c r="F28" i="3" s="1"/>
  <c r="D28" i="1"/>
  <c r="D28" i="3" s="1"/>
  <c r="D27" i="1"/>
  <c r="D27" i="3" s="1"/>
  <c r="M26" i="1"/>
  <c r="I26" i="1"/>
  <c r="H26" i="3" s="1"/>
  <c r="H26" i="1"/>
  <c r="I26" i="3" s="1"/>
  <c r="G26" i="1"/>
  <c r="G26" i="3" s="1"/>
  <c r="F26" i="1"/>
  <c r="F26" i="3" s="1"/>
  <c r="E26" i="1"/>
  <c r="E26" i="3" s="1"/>
  <c r="D26" i="1"/>
  <c r="D26" i="3" s="1"/>
  <c r="C25" i="1"/>
  <c r="C25" i="3" s="1"/>
  <c r="B25" i="1"/>
  <c r="B25" i="3" s="1"/>
  <c r="M24" i="1"/>
  <c r="H24" i="1"/>
  <c r="I24" i="3" s="1"/>
  <c r="G24" i="1"/>
  <c r="G24" i="3" s="1"/>
  <c r="C24" i="1"/>
  <c r="C24" i="3" s="1"/>
  <c r="B24" i="1"/>
  <c r="B24" i="3" s="1"/>
  <c r="M23" i="1"/>
  <c r="K23" i="1"/>
  <c r="G23" i="1"/>
  <c r="G23" i="3" s="1"/>
  <c r="F23" i="1"/>
  <c r="F23" i="3" s="1"/>
  <c r="E23" i="1"/>
  <c r="E23" i="3" s="1"/>
  <c r="D23" i="1"/>
  <c r="D23" i="3" s="1"/>
  <c r="C23" i="1"/>
  <c r="C23" i="3" s="1"/>
  <c r="B23" i="1"/>
  <c r="B23" i="3" s="1"/>
  <c r="D22" i="1"/>
  <c r="D22" i="3" s="1"/>
  <c r="C22" i="1"/>
  <c r="C22" i="3" s="1"/>
  <c r="M21" i="1"/>
  <c r="D21" i="1"/>
  <c r="D21" i="3" s="1"/>
  <c r="C21" i="1"/>
  <c r="C21" i="3" s="1"/>
  <c r="M20" i="1"/>
  <c r="K20" i="1"/>
  <c r="J20" i="3" s="1"/>
  <c r="I20" i="1"/>
  <c r="H20" i="3" s="1"/>
  <c r="H20" i="1"/>
  <c r="I20" i="3" s="1"/>
  <c r="G20" i="1"/>
  <c r="G20" i="3" s="1"/>
  <c r="E20" i="1"/>
  <c r="E20" i="3" s="1"/>
  <c r="D20" i="1"/>
  <c r="D20" i="3" s="1"/>
  <c r="C20" i="1"/>
  <c r="C20" i="3" s="1"/>
  <c r="B20" i="1"/>
  <c r="B20" i="3" s="1"/>
  <c r="D19" i="1"/>
  <c r="D19" i="3" s="1"/>
  <c r="B19" i="1"/>
  <c r="B19" i="3" s="1"/>
  <c r="M18" i="1"/>
  <c r="I18" i="1"/>
  <c r="H18" i="3" s="1"/>
  <c r="G18" i="1"/>
  <c r="G18" i="3" s="1"/>
  <c r="F18" i="1"/>
  <c r="F18" i="3" s="1"/>
  <c r="E18" i="1"/>
  <c r="E18" i="3" s="1"/>
  <c r="D18" i="1"/>
  <c r="D18" i="3" s="1"/>
  <c r="C18" i="1"/>
  <c r="C18" i="3" s="1"/>
  <c r="B18" i="1"/>
  <c r="B18" i="3" s="1"/>
  <c r="N17" i="1"/>
  <c r="N296" i="1" s="1"/>
  <c r="N301" i="1" s="1"/>
  <c r="M17" i="1"/>
  <c r="I17" i="1"/>
  <c r="H17" i="3" s="1"/>
  <c r="F17" i="1"/>
  <c r="F17" i="3" s="1"/>
  <c r="E17" i="1"/>
  <c r="E17" i="3" s="1"/>
  <c r="D17" i="1"/>
  <c r="D17" i="3" s="1"/>
  <c r="C17" i="1"/>
  <c r="C17" i="3" s="1"/>
  <c r="B17" i="1"/>
  <c r="B17" i="3" s="1"/>
  <c r="L15" i="1"/>
  <c r="L53" i="1" s="1"/>
  <c r="L55" i="1" s="1"/>
  <c r="K15" i="1"/>
  <c r="F15" i="1"/>
  <c r="F15" i="3" s="1"/>
  <c r="D14" i="1"/>
  <c r="D14" i="3" s="1"/>
  <c r="C14" i="1"/>
  <c r="C14" i="3" s="1"/>
  <c r="B14" i="1"/>
  <c r="B14" i="3" s="1"/>
  <c r="I13" i="1"/>
  <c r="H13" i="3" s="1"/>
  <c r="H13" i="1"/>
  <c r="I13" i="3" s="1"/>
  <c r="G13" i="1"/>
  <c r="G13" i="3" s="1"/>
  <c r="F13" i="1"/>
  <c r="F13" i="3" s="1"/>
  <c r="H12" i="1"/>
  <c r="I12" i="3" s="1"/>
  <c r="B12" i="1"/>
  <c r="B12" i="3" s="1"/>
  <c r="M11" i="1"/>
  <c r="I11" i="1"/>
  <c r="H11" i="3" s="1"/>
  <c r="H11" i="1"/>
  <c r="I11" i="3" s="1"/>
  <c r="G11" i="1"/>
  <c r="G11" i="3" s="1"/>
  <c r="F11" i="1"/>
  <c r="F11" i="3" s="1"/>
  <c r="E11" i="1"/>
  <c r="E11" i="3" s="1"/>
  <c r="D11" i="1"/>
  <c r="D11" i="3" s="1"/>
  <c r="C11" i="1"/>
  <c r="C11" i="3" s="1"/>
  <c r="B11" i="1"/>
  <c r="B11" i="3" s="1"/>
  <c r="N10" i="1"/>
  <c r="N15" i="1" s="1"/>
  <c r="M10" i="1"/>
  <c r="K10" i="1"/>
  <c r="I10" i="1"/>
  <c r="H10" i="3" s="1"/>
  <c r="H10" i="1"/>
  <c r="I10" i="3" s="1"/>
  <c r="G10" i="1"/>
  <c r="G10" i="3" s="1"/>
  <c r="F10" i="1"/>
  <c r="F10" i="3" s="1"/>
  <c r="E10" i="1"/>
  <c r="E10" i="3" s="1"/>
  <c r="D10" i="1"/>
  <c r="D10" i="3" s="1"/>
  <c r="C10" i="1"/>
  <c r="C10" i="3" s="1"/>
  <c r="B10" i="1"/>
  <c r="B10" i="3" s="1"/>
  <c r="K9" i="1"/>
  <c r="I9" i="1"/>
  <c r="H9" i="3" s="1"/>
  <c r="F9" i="1"/>
  <c r="F9" i="3" s="1"/>
  <c r="E9" i="1"/>
  <c r="E9" i="3" s="1"/>
  <c r="D9" i="1"/>
  <c r="D9" i="3" s="1"/>
  <c r="B9" i="1"/>
  <c r="B9" i="3" s="1"/>
  <c r="M8" i="1"/>
  <c r="M15" i="1" s="1"/>
  <c r="I8" i="1"/>
  <c r="H8" i="3" s="1"/>
  <c r="G8" i="1"/>
  <c r="G8" i="3" s="1"/>
  <c r="F8" i="1"/>
  <c r="F8" i="3" s="1"/>
  <c r="E8" i="1"/>
  <c r="E8" i="3" s="1"/>
  <c r="C8" i="1"/>
  <c r="C8" i="3" s="1"/>
  <c r="F7" i="1"/>
  <c r="F7" i="3" s="1"/>
  <c r="E7" i="1"/>
  <c r="E7" i="3" s="1"/>
  <c r="D7" i="1"/>
  <c r="D7" i="3" s="1"/>
  <c r="C7" i="1"/>
  <c r="C7" i="3" s="1"/>
  <c r="B7" i="1"/>
  <c r="B7" i="3" s="1"/>
  <c r="H6" i="1"/>
  <c r="I6" i="3" s="1"/>
  <c r="G6" i="1"/>
  <c r="G6" i="3" s="1"/>
  <c r="F6" i="1"/>
  <c r="F6" i="3" s="1"/>
  <c r="M5" i="1"/>
  <c r="N5" i="1" s="1"/>
  <c r="I5" i="1"/>
  <c r="H5" i="3" s="1"/>
  <c r="H5" i="1"/>
  <c r="G5" i="1"/>
  <c r="G5" i="3" s="1"/>
  <c r="F5" i="1"/>
  <c r="F5" i="3" s="1"/>
  <c r="E5" i="1"/>
  <c r="E5" i="3" s="1"/>
  <c r="D5" i="1"/>
  <c r="D5" i="3" s="1"/>
  <c r="C5" i="1"/>
  <c r="C5" i="3" s="1"/>
  <c r="B5" i="1"/>
  <c r="B5" i="3" s="1"/>
  <c r="M4" i="1"/>
  <c r="M150" i="1" l="1"/>
  <c r="M157" i="1" s="1"/>
  <c r="M72" i="1"/>
  <c r="M34" i="1"/>
  <c r="M40" i="1" s="1"/>
  <c r="M53" i="1" s="1"/>
  <c r="I115" i="3"/>
  <c r="C181" i="2"/>
  <c r="J87" i="3"/>
  <c r="J77" i="2"/>
  <c r="L115" i="1"/>
  <c r="L330" i="1" s="1"/>
  <c r="L332" i="1" s="1"/>
  <c r="N4" i="1" s="1"/>
  <c r="N53" i="1" s="1"/>
  <c r="N55" i="1" s="1"/>
  <c r="M97" i="1"/>
  <c r="M111" i="1" s="1"/>
  <c r="M115" i="1" s="1"/>
  <c r="N212" i="1"/>
  <c r="N208" i="1"/>
  <c r="N211" i="1" s="1"/>
  <c r="N205" i="1"/>
  <c r="I5" i="3"/>
  <c r="I5" i="2"/>
  <c r="I40" i="1"/>
  <c r="H38" i="3" s="1"/>
  <c r="F81" i="1"/>
  <c r="F79" i="3" s="1"/>
  <c r="J93" i="3"/>
  <c r="J83" i="2"/>
  <c r="E114" i="3"/>
  <c r="B127" i="1"/>
  <c r="B123" i="3" s="1"/>
  <c r="F132" i="1"/>
  <c r="F128" i="3" s="1"/>
  <c r="G136" i="1"/>
  <c r="G132" i="3" s="1"/>
  <c r="G139" i="3"/>
  <c r="H143" i="1"/>
  <c r="G150" i="1"/>
  <c r="G146" i="3" s="1"/>
  <c r="J151" i="3"/>
  <c r="J141" i="2"/>
  <c r="C186" i="3"/>
  <c r="C195" i="1"/>
  <c r="C188" i="3" s="1"/>
  <c r="B195" i="1"/>
  <c r="B188" i="3" s="1"/>
  <c r="M310" i="1"/>
  <c r="G300" i="3"/>
  <c r="H309" i="1"/>
  <c r="I300" i="3" s="1"/>
  <c r="F36" i="2"/>
  <c r="H8" i="1"/>
  <c r="J9" i="3"/>
  <c r="J9" i="2"/>
  <c r="D15" i="1"/>
  <c r="H18" i="1"/>
  <c r="F34" i="1"/>
  <c r="F34" i="3" s="1"/>
  <c r="B40" i="1"/>
  <c r="B38" i="3" s="1"/>
  <c r="K40" i="1"/>
  <c r="E48" i="1"/>
  <c r="E47" i="3" s="1"/>
  <c r="D67" i="1"/>
  <c r="H78" i="1"/>
  <c r="I76" i="3" s="1"/>
  <c r="H80" i="1"/>
  <c r="I78" i="3" s="1"/>
  <c r="G81" i="1"/>
  <c r="G79" i="3" s="1"/>
  <c r="K84" i="1"/>
  <c r="D86" i="1"/>
  <c r="D84" i="3" s="1"/>
  <c r="H87" i="1"/>
  <c r="C89" i="1"/>
  <c r="C87" i="3" s="1"/>
  <c r="K93" i="1"/>
  <c r="K96" i="1"/>
  <c r="I103" i="1"/>
  <c r="H100" i="3" s="1"/>
  <c r="D106" i="1"/>
  <c r="D103" i="3" s="1"/>
  <c r="H114" i="1"/>
  <c r="I111" i="3" s="1"/>
  <c r="J122" i="3"/>
  <c r="J112" i="2"/>
  <c r="C127" i="1"/>
  <c r="C123" i="3" s="1"/>
  <c r="G132" i="1"/>
  <c r="G128" i="3" s="1"/>
  <c r="H134" i="1"/>
  <c r="I130" i="3" s="1"/>
  <c r="H136" i="1"/>
  <c r="I132" i="3" s="1"/>
  <c r="E134" i="3"/>
  <c r="E140" i="1"/>
  <c r="E136" i="3" s="1"/>
  <c r="H139" i="1"/>
  <c r="I135" i="3" s="1"/>
  <c r="H139" i="3"/>
  <c r="I150" i="1"/>
  <c r="H146" i="3" s="1"/>
  <c r="J140" i="3"/>
  <c r="J130" i="2"/>
  <c r="H149" i="1"/>
  <c r="I145" i="3" s="1"/>
  <c r="E150" i="1"/>
  <c r="E146" i="3" s="1"/>
  <c r="E195" i="1"/>
  <c r="E188" i="3" s="1"/>
  <c r="J191" i="3"/>
  <c r="J179" i="2"/>
  <c r="F201" i="1"/>
  <c r="F193" i="3" s="1"/>
  <c r="G200" i="3"/>
  <c r="H208" i="1"/>
  <c r="G211" i="1"/>
  <c r="G203" i="3" s="1"/>
  <c r="D211" i="1"/>
  <c r="D203" i="3" s="1"/>
  <c r="F213" i="1"/>
  <c r="F205" i="3" s="1"/>
  <c r="N303" i="1"/>
  <c r="M283" i="1"/>
  <c r="M303" i="1" s="1"/>
  <c r="E278" i="3"/>
  <c r="E291" i="1"/>
  <c r="E282" i="3" s="1"/>
  <c r="I301" i="1"/>
  <c r="H292" i="3" s="1"/>
  <c r="C297" i="3"/>
  <c r="C310" i="1"/>
  <c r="C301" i="3" s="1"/>
  <c r="G299" i="3"/>
  <c r="H308" i="1"/>
  <c r="I299" i="3" s="1"/>
  <c r="F304" i="3"/>
  <c r="F319" i="1"/>
  <c r="F310" i="3" s="1"/>
  <c r="D13" i="2"/>
  <c r="D43" i="2" s="1"/>
  <c r="D45" i="2" s="1"/>
  <c r="F43" i="2"/>
  <c r="F45" i="2" s="1"/>
  <c r="G36" i="2"/>
  <c r="I16" i="2"/>
  <c r="B61" i="2"/>
  <c r="D70" i="2"/>
  <c r="D102" i="2" s="1"/>
  <c r="D299" i="2" s="1"/>
  <c r="C15" i="1"/>
  <c r="C67" i="1"/>
  <c r="C65" i="3" s="1"/>
  <c r="B89" i="1"/>
  <c r="B87" i="3" s="1"/>
  <c r="J89" i="3"/>
  <c r="J79" i="2"/>
  <c r="G115" i="3"/>
  <c r="J123" i="3"/>
  <c r="J113" i="2"/>
  <c r="B157" i="3"/>
  <c r="B163" i="1"/>
  <c r="J157" i="3"/>
  <c r="J147" i="2"/>
  <c r="K163" i="1"/>
  <c r="C179" i="3"/>
  <c r="C190" i="1"/>
  <c r="C183" i="3" s="1"/>
  <c r="C213" i="1"/>
  <c r="C205" i="3" s="1"/>
  <c r="F219" i="3"/>
  <c r="F230" i="1"/>
  <c r="B222" i="3"/>
  <c r="B239" i="1"/>
  <c r="B231" i="3" s="1"/>
  <c r="I195" i="2"/>
  <c r="I200" i="2" s="1"/>
  <c r="H200" i="2"/>
  <c r="K5" i="1"/>
  <c r="J10" i="3"/>
  <c r="J10" i="2"/>
  <c r="E15" i="1"/>
  <c r="H23" i="1"/>
  <c r="I23" i="3" s="1"/>
  <c r="G34" i="1"/>
  <c r="G34" i="3" s="1"/>
  <c r="H36" i="1"/>
  <c r="I36" i="3" s="1"/>
  <c r="F48" i="1"/>
  <c r="F47" i="3" s="1"/>
  <c r="H61" i="1"/>
  <c r="K63" i="1"/>
  <c r="E67" i="1"/>
  <c r="E65" i="3" s="1"/>
  <c r="Q67" i="1"/>
  <c r="I66" i="3"/>
  <c r="I57" i="2"/>
  <c r="I68" i="3"/>
  <c r="I59" i="2"/>
  <c r="F72" i="1"/>
  <c r="E86" i="1"/>
  <c r="D89" i="1"/>
  <c r="D87" i="3" s="1"/>
  <c r="F97" i="1"/>
  <c r="F95" i="3" s="1"/>
  <c r="B103" i="1"/>
  <c r="B100" i="3" s="1"/>
  <c r="J100" i="3"/>
  <c r="J90" i="2"/>
  <c r="E106" i="1"/>
  <c r="E103" i="3" s="1"/>
  <c r="D127" i="1"/>
  <c r="D123" i="3" s="1"/>
  <c r="H132" i="1"/>
  <c r="I128" i="3" s="1"/>
  <c r="I136" i="1"/>
  <c r="H132" i="3" s="1"/>
  <c r="J139" i="3"/>
  <c r="J129" i="2"/>
  <c r="J152" i="3"/>
  <c r="J142" i="2"/>
  <c r="D171" i="3"/>
  <c r="D179" i="1"/>
  <c r="D175" i="3" s="1"/>
  <c r="B179" i="1"/>
  <c r="B175" i="3" s="1"/>
  <c r="J183" i="3"/>
  <c r="J171" i="2"/>
  <c r="I201" i="1"/>
  <c r="H193" i="3" s="1"/>
  <c r="J201" i="3"/>
  <c r="J188" i="2"/>
  <c r="E211" i="1"/>
  <c r="E203" i="3" s="1"/>
  <c r="D208" i="3"/>
  <c r="D221" i="1"/>
  <c r="D213" i="3" s="1"/>
  <c r="G222" i="3"/>
  <c r="G239" i="1"/>
  <c r="G231" i="3" s="1"/>
  <c r="G225" i="3"/>
  <c r="H233" i="1"/>
  <c r="G237" i="1"/>
  <c r="G229" i="3" s="1"/>
  <c r="E260" i="3"/>
  <c r="E273" i="1"/>
  <c r="I283" i="1"/>
  <c r="H274" i="3" s="1"/>
  <c r="J293" i="3"/>
  <c r="J272" i="2"/>
  <c r="J317" i="3"/>
  <c r="J295" i="2"/>
  <c r="J35" i="2"/>
  <c r="J42" i="2"/>
  <c r="C61" i="2"/>
  <c r="E70" i="2"/>
  <c r="F53" i="1"/>
  <c r="J85" i="3"/>
  <c r="J75" i="2"/>
  <c r="J146" i="3"/>
  <c r="J136" i="2"/>
  <c r="H219" i="3"/>
  <c r="I230" i="1"/>
  <c r="J222" i="3"/>
  <c r="J208" i="2"/>
  <c r="H237" i="3"/>
  <c r="I250" i="1"/>
  <c r="H241" i="3" s="1"/>
  <c r="G257" i="3"/>
  <c r="H266" i="1"/>
  <c r="H304" i="3"/>
  <c r="I319" i="1"/>
  <c r="H310" i="3" s="1"/>
  <c r="G15" i="1"/>
  <c r="H33" i="1"/>
  <c r="I33" i="3" s="1"/>
  <c r="E40" i="1"/>
  <c r="E38" i="3" s="1"/>
  <c r="H48" i="1"/>
  <c r="J59" i="3"/>
  <c r="J50" i="2"/>
  <c r="G67" i="1"/>
  <c r="H76" i="1"/>
  <c r="I74" i="3" s="1"/>
  <c r="B81" i="1"/>
  <c r="B79" i="3" s="1"/>
  <c r="J79" i="3"/>
  <c r="J70" i="2"/>
  <c r="J88" i="3"/>
  <c r="J78" i="2"/>
  <c r="J90" i="3"/>
  <c r="J80" i="2"/>
  <c r="H94" i="1"/>
  <c r="I92" i="3" s="1"/>
  <c r="H104" i="1"/>
  <c r="G106" i="1"/>
  <c r="G103" i="3" s="1"/>
  <c r="J109" i="3"/>
  <c r="J99" i="2"/>
  <c r="J110" i="3"/>
  <c r="J100" i="2"/>
  <c r="N157" i="1"/>
  <c r="J124" i="3"/>
  <c r="J114" i="2"/>
  <c r="J128" i="3"/>
  <c r="J118" i="2"/>
  <c r="C130" i="3"/>
  <c r="C136" i="1"/>
  <c r="C132" i="3" s="1"/>
  <c r="J160" i="3"/>
  <c r="J150" i="2"/>
  <c r="H189" i="1"/>
  <c r="I195" i="1"/>
  <c r="H188" i="3" s="1"/>
  <c r="M237" i="1"/>
  <c r="M239" i="1" s="1"/>
  <c r="D235" i="3"/>
  <c r="M264" i="1"/>
  <c r="C267" i="3"/>
  <c r="C283" i="1"/>
  <c r="C274" i="3" s="1"/>
  <c r="E268" i="3"/>
  <c r="E283" i="1"/>
  <c r="E274" i="3" s="1"/>
  <c r="F310" i="1"/>
  <c r="F301" i="3" s="1"/>
  <c r="G13" i="2"/>
  <c r="G43" i="2" s="1"/>
  <c r="G45" i="2" s="1"/>
  <c r="B36" i="2"/>
  <c r="B43" i="2" s="1"/>
  <c r="B45" i="2" s="1"/>
  <c r="H85" i="2"/>
  <c r="I85" i="2"/>
  <c r="F40" i="1"/>
  <c r="F38" i="3" s="1"/>
  <c r="I60" i="3"/>
  <c r="I51" i="2"/>
  <c r="I72" i="1"/>
  <c r="C81" i="1"/>
  <c r="C79" i="3" s="1"/>
  <c r="J86" i="3"/>
  <c r="J76" i="2"/>
  <c r="G89" i="1"/>
  <c r="D115" i="3"/>
  <c r="J106" i="2"/>
  <c r="J116" i="3"/>
  <c r="H120" i="1"/>
  <c r="I117" i="3" s="1"/>
  <c r="F125" i="1"/>
  <c r="C132" i="1"/>
  <c r="C128" i="3" s="1"/>
  <c r="B136" i="1"/>
  <c r="B132" i="3" s="1"/>
  <c r="G140" i="1"/>
  <c r="G136" i="3" s="1"/>
  <c r="J142" i="3"/>
  <c r="J132" i="2"/>
  <c r="G157" i="3"/>
  <c r="G163" i="1"/>
  <c r="D163" i="1"/>
  <c r="D159" i="3" s="1"/>
  <c r="H179" i="1"/>
  <c r="I175" i="3" s="1"/>
  <c r="J188" i="3"/>
  <c r="J176" i="2"/>
  <c r="D197" i="3"/>
  <c r="D213" i="1"/>
  <c r="D205" i="3" s="1"/>
  <c r="G202" i="3"/>
  <c r="H210" i="1"/>
  <c r="I202" i="3" s="1"/>
  <c r="C219" i="3"/>
  <c r="C230" i="1"/>
  <c r="E220" i="3"/>
  <c r="E230" i="1"/>
  <c r="N239" i="1"/>
  <c r="E249" i="3"/>
  <c r="E262" i="1"/>
  <c r="E253" i="3" s="1"/>
  <c r="D258" i="3"/>
  <c r="F262" i="3"/>
  <c r="F273" i="1"/>
  <c r="F264" i="3" s="1"/>
  <c r="J278" i="3"/>
  <c r="J259" i="2"/>
  <c r="K291" i="1"/>
  <c r="E287" i="3"/>
  <c r="E301" i="1"/>
  <c r="E292" i="3" s="1"/>
  <c r="H13" i="2"/>
  <c r="C36" i="2"/>
  <c r="C43" i="2" s="1"/>
  <c r="C45" i="2" s="1"/>
  <c r="J18" i="2"/>
  <c r="F61" i="2"/>
  <c r="D40" i="1"/>
  <c r="D38" i="3" s="1"/>
  <c r="G142" i="3"/>
  <c r="H146" i="1"/>
  <c r="I142" i="3" s="1"/>
  <c r="F179" i="3"/>
  <c r="F190" i="1"/>
  <c r="F183" i="3" s="1"/>
  <c r="F186" i="3"/>
  <c r="F195" i="1"/>
  <c r="F188" i="3" s="1"/>
  <c r="I15" i="1"/>
  <c r="H15" i="3" s="1"/>
  <c r="H32" i="1"/>
  <c r="I32" i="3" s="1"/>
  <c r="C34" i="1"/>
  <c r="C34" i="3" s="1"/>
  <c r="G40" i="1"/>
  <c r="G38" i="3" s="1"/>
  <c r="B48" i="1"/>
  <c r="B47" i="3" s="1"/>
  <c r="J47" i="3"/>
  <c r="J38" i="2"/>
  <c r="S63" i="1"/>
  <c r="H65" i="1"/>
  <c r="I63" i="3" s="1"/>
  <c r="H66" i="1"/>
  <c r="I64" i="3" s="1"/>
  <c r="H69" i="1"/>
  <c r="D81" i="1"/>
  <c r="D79" i="3" s="1"/>
  <c r="I86" i="1"/>
  <c r="H91" i="1"/>
  <c r="I89" i="3" s="1"/>
  <c r="N92" i="1"/>
  <c r="J92" i="3"/>
  <c r="J82" i="2"/>
  <c r="H95" i="1"/>
  <c r="I93" i="3" s="1"/>
  <c r="F103" i="1"/>
  <c r="F100" i="3" s="1"/>
  <c r="J101" i="3"/>
  <c r="J91" i="2"/>
  <c r="I106" i="1"/>
  <c r="H103" i="3" s="1"/>
  <c r="H124" i="1"/>
  <c r="G125" i="1"/>
  <c r="G122" i="3" s="1"/>
  <c r="E130" i="3"/>
  <c r="E136" i="1"/>
  <c r="E132" i="3" s="1"/>
  <c r="D136" i="1"/>
  <c r="D132" i="3" s="1"/>
  <c r="H161" i="1"/>
  <c r="E163" i="1"/>
  <c r="E159" i="3" s="1"/>
  <c r="I179" i="1"/>
  <c r="H175" i="3" s="1"/>
  <c r="H180" i="1"/>
  <c r="I176" i="3" s="1"/>
  <c r="H181" i="1"/>
  <c r="I177" i="3" s="1"/>
  <c r="G190" i="3"/>
  <c r="H197" i="1"/>
  <c r="I190" i="3" s="1"/>
  <c r="C201" i="1"/>
  <c r="C193" i="3" s="1"/>
  <c r="E195" i="3"/>
  <c r="E213" i="1"/>
  <c r="E205" i="3" s="1"/>
  <c r="I208" i="3"/>
  <c r="H221" i="1"/>
  <c r="I213" i="3" s="1"/>
  <c r="F210" i="3"/>
  <c r="F221" i="1"/>
  <c r="F213" i="3" s="1"/>
  <c r="B221" i="1"/>
  <c r="B213" i="3" s="1"/>
  <c r="D236" i="3"/>
  <c r="D250" i="1"/>
  <c r="D241" i="3" s="1"/>
  <c r="C264" i="1"/>
  <c r="C255" i="3" s="1"/>
  <c r="H273" i="1"/>
  <c r="I264" i="3" s="1"/>
  <c r="C276" i="3"/>
  <c r="C291" i="1"/>
  <c r="C282" i="3" s="1"/>
  <c r="B278" i="3"/>
  <c r="B291" i="1"/>
  <c r="B282" i="3" s="1"/>
  <c r="G284" i="3"/>
  <c r="G301" i="1"/>
  <c r="G292" i="3" s="1"/>
  <c r="H293" i="1"/>
  <c r="J310" i="3"/>
  <c r="J288" i="2"/>
  <c r="I314" i="3"/>
  <c r="J319" i="3"/>
  <c r="J297" i="2"/>
  <c r="E13" i="2"/>
  <c r="J32" i="2"/>
  <c r="E102" i="2"/>
  <c r="J63" i="2"/>
  <c r="J23" i="3"/>
  <c r="J21" i="2"/>
  <c r="F67" i="1"/>
  <c r="F65" i="3" s="1"/>
  <c r="B199" i="3"/>
  <c r="B211" i="1"/>
  <c r="B203" i="3" s="1"/>
  <c r="J244" i="3"/>
  <c r="J230" i="2"/>
  <c r="K255" i="1"/>
  <c r="B15" i="1"/>
  <c r="J15" i="3"/>
  <c r="J13" i="2"/>
  <c r="H28" i="1"/>
  <c r="D34" i="1"/>
  <c r="D34" i="3" s="1"/>
  <c r="C48" i="1"/>
  <c r="C47" i="3" s="1"/>
  <c r="J60" i="3"/>
  <c r="J51" i="2"/>
  <c r="B67" i="1"/>
  <c r="B65" i="3" s="1"/>
  <c r="H71" i="1"/>
  <c r="E81" i="1"/>
  <c r="E79" i="3" s="1"/>
  <c r="H84" i="1"/>
  <c r="B86" i="1"/>
  <c r="S87" i="1"/>
  <c r="H93" i="1"/>
  <c r="I91" i="3" s="1"/>
  <c r="H96" i="1"/>
  <c r="I94" i="3" s="1"/>
  <c r="B106" i="1"/>
  <c r="B103" i="3" s="1"/>
  <c r="K106" i="1"/>
  <c r="H111" i="1"/>
  <c r="I108" i="3" s="1"/>
  <c r="I127" i="1"/>
  <c r="E132" i="1"/>
  <c r="E128" i="3" s="1"/>
  <c r="F136" i="1"/>
  <c r="F132" i="3" s="1"/>
  <c r="C133" i="3"/>
  <c r="C140" i="1"/>
  <c r="C136" i="3" s="1"/>
  <c r="I140" i="1"/>
  <c r="H136" i="3" s="1"/>
  <c r="J143" i="3"/>
  <c r="J133" i="2"/>
  <c r="C150" i="1"/>
  <c r="C146" i="3" s="1"/>
  <c r="G174" i="3"/>
  <c r="H178" i="1"/>
  <c r="I174" i="3" s="1"/>
  <c r="J175" i="3"/>
  <c r="J165" i="2"/>
  <c r="G190" i="1"/>
  <c r="G183" i="3" s="1"/>
  <c r="B213" i="1"/>
  <c r="B205" i="3" s="1"/>
  <c r="E221" i="1"/>
  <c r="E213" i="3" s="1"/>
  <c r="K224" i="3"/>
  <c r="K235" i="1"/>
  <c r="K233" i="1"/>
  <c r="K236" i="1"/>
  <c r="K234" i="1"/>
  <c r="G235" i="3"/>
  <c r="H243" i="1"/>
  <c r="F262" i="1"/>
  <c r="F253" i="3" s="1"/>
  <c r="I267" i="3"/>
  <c r="H283" i="1"/>
  <c r="I274" i="3" s="1"/>
  <c r="E36" i="2"/>
  <c r="G143" i="2"/>
  <c r="E181" i="2"/>
  <c r="J200" i="2"/>
  <c r="J132" i="3"/>
  <c r="J122" i="2"/>
  <c r="K140" i="1"/>
  <c r="F150" i="1"/>
  <c r="F146" i="3" s="1"/>
  <c r="H230" i="1"/>
  <c r="F237" i="1"/>
  <c r="F229" i="3" s="1"/>
  <c r="D255" i="1"/>
  <c r="D246" i="3" s="1"/>
  <c r="I273" i="1"/>
  <c r="G283" i="1"/>
  <c r="G274" i="3" s="1"/>
  <c r="G310" i="1"/>
  <c r="G301" i="3" s="1"/>
  <c r="H32" i="2"/>
  <c r="H36" i="2" s="1"/>
  <c r="H70" i="2"/>
  <c r="H102" i="2" s="1"/>
  <c r="D165" i="2"/>
  <c r="J167" i="2"/>
  <c r="H190" i="2"/>
  <c r="H192" i="2" s="1"/>
  <c r="I188" i="2"/>
  <c r="I190" i="2" s="1"/>
  <c r="I192" i="2" s="1"/>
  <c r="C271" i="2"/>
  <c r="H138" i="1"/>
  <c r="H145" i="1"/>
  <c r="I141" i="3" s="1"/>
  <c r="H148" i="1"/>
  <c r="I144" i="3" s="1"/>
  <c r="J145" i="3"/>
  <c r="J135" i="2"/>
  <c r="H152" i="1"/>
  <c r="I148" i="3" s="1"/>
  <c r="E179" i="1"/>
  <c r="E175" i="3" s="1"/>
  <c r="D190" i="1"/>
  <c r="D183" i="3" s="1"/>
  <c r="H191" i="1"/>
  <c r="I184" i="3" s="1"/>
  <c r="D195" i="1"/>
  <c r="D188" i="3" s="1"/>
  <c r="H196" i="1"/>
  <c r="I189" i="3" s="1"/>
  <c r="I221" i="1"/>
  <c r="H213" i="3" s="1"/>
  <c r="J216" i="3"/>
  <c r="J203" i="2"/>
  <c r="B250" i="1"/>
  <c r="B241" i="3" s="1"/>
  <c r="H252" i="1"/>
  <c r="I243" i="3" s="1"/>
  <c r="E255" i="1"/>
  <c r="E246" i="3" s="1"/>
  <c r="B264" i="1"/>
  <c r="B255" i="3" s="1"/>
  <c r="B273" i="1"/>
  <c r="B264" i="3" s="1"/>
  <c r="J264" i="3"/>
  <c r="J245" i="2"/>
  <c r="H310" i="1"/>
  <c r="I301" i="3" s="1"/>
  <c r="H313" i="1"/>
  <c r="H316" i="1"/>
  <c r="I307" i="3" s="1"/>
  <c r="I63" i="2"/>
  <c r="I70" i="2" s="1"/>
  <c r="C143" i="2"/>
  <c r="H113" i="2"/>
  <c r="H143" i="2" s="1"/>
  <c r="F136" i="2"/>
  <c r="B181" i="2"/>
  <c r="I165" i="2"/>
  <c r="I181" i="2" s="1"/>
  <c r="B271" i="2"/>
  <c r="B273" i="2" s="1"/>
  <c r="J141" i="3"/>
  <c r="J131" i="2"/>
  <c r="J168" i="3"/>
  <c r="J158" i="2"/>
  <c r="G179" i="1"/>
  <c r="G175" i="3" s="1"/>
  <c r="J189" i="3"/>
  <c r="J177" i="2"/>
  <c r="G213" i="1"/>
  <c r="G205" i="3" s="1"/>
  <c r="J209" i="3"/>
  <c r="J196" i="2"/>
  <c r="C221" i="1"/>
  <c r="C213" i="3" s="1"/>
  <c r="I237" i="1"/>
  <c r="H229" i="3" s="1"/>
  <c r="G255" i="1"/>
  <c r="D273" i="1"/>
  <c r="D264" i="3" s="1"/>
  <c r="J274" i="3"/>
  <c r="J255" i="2"/>
  <c r="B301" i="1"/>
  <c r="B292" i="3" s="1"/>
  <c r="K301" i="1"/>
  <c r="B310" i="1"/>
  <c r="B301" i="3" s="1"/>
  <c r="J301" i="3"/>
  <c r="J280" i="2"/>
  <c r="C319" i="1"/>
  <c r="C310" i="3" s="1"/>
  <c r="F328" i="1"/>
  <c r="F319" i="3" s="1"/>
  <c r="D85" i="2"/>
  <c r="G93" i="2"/>
  <c r="G102" i="2" s="1"/>
  <c r="C165" i="2"/>
  <c r="E237" i="2"/>
  <c r="C273" i="2"/>
  <c r="H255" i="2"/>
  <c r="H280" i="2"/>
  <c r="I276" i="2"/>
  <c r="I280" i="2" s="1"/>
  <c r="H255" i="1"/>
  <c r="I246" i="3" s="1"/>
  <c r="E264" i="1"/>
  <c r="E255" i="3" s="1"/>
  <c r="C301" i="1"/>
  <c r="C292" i="3" s="1"/>
  <c r="J314" i="3"/>
  <c r="J292" i="2"/>
  <c r="G328" i="1"/>
  <c r="G319" i="3" s="1"/>
  <c r="B143" i="2"/>
  <c r="G181" i="2"/>
  <c r="E217" i="2"/>
  <c r="J227" i="2"/>
  <c r="I283" i="2"/>
  <c r="I288" i="2" s="1"/>
  <c r="H288" i="2"/>
  <c r="J235" i="3"/>
  <c r="J221" i="2"/>
  <c r="H248" i="1"/>
  <c r="F250" i="1"/>
  <c r="J253" i="3"/>
  <c r="J235" i="2"/>
  <c r="D283" i="1"/>
  <c r="D274" i="3" s="1"/>
  <c r="H287" i="1"/>
  <c r="I278" i="3" s="1"/>
  <c r="H289" i="1"/>
  <c r="I280" i="3" s="1"/>
  <c r="G291" i="1"/>
  <c r="G282" i="3" s="1"/>
  <c r="D301" i="1"/>
  <c r="D292" i="3" s="1"/>
  <c r="H302" i="1"/>
  <c r="I293" i="3" s="1"/>
  <c r="F303" i="1"/>
  <c r="F294" i="3" s="1"/>
  <c r="D310" i="1"/>
  <c r="D301" i="3" s="1"/>
  <c r="H326" i="1"/>
  <c r="I317" i="3" s="1"/>
  <c r="J318" i="3"/>
  <c r="J296" i="2"/>
  <c r="I52" i="2"/>
  <c r="F85" i="2"/>
  <c r="E143" i="2"/>
  <c r="J124" i="2"/>
  <c r="H136" i="2"/>
  <c r="I129" i="2"/>
  <c r="I136" i="2" s="1"/>
  <c r="D181" i="2"/>
  <c r="H181" i="2"/>
  <c r="J172" i="2"/>
  <c r="H176" i="2"/>
  <c r="I174" i="2"/>
  <c r="I176" i="2" s="1"/>
  <c r="C192" i="2"/>
  <c r="G217" i="2"/>
  <c r="B237" i="2"/>
  <c r="G237" i="2"/>
  <c r="F273" i="2"/>
  <c r="G271" i="2"/>
  <c r="G273" i="2" s="1"/>
  <c r="G250" i="1"/>
  <c r="G241" i="3" s="1"/>
  <c r="H291" i="1"/>
  <c r="I282" i="3" s="1"/>
  <c r="I328" i="1"/>
  <c r="H319" i="3" s="1"/>
  <c r="C102" i="2"/>
  <c r="B77" i="2"/>
  <c r="B85" i="2" s="1"/>
  <c r="F143" i="2"/>
  <c r="J205" i="2"/>
  <c r="I217" i="2"/>
  <c r="I227" i="2"/>
  <c r="I237" i="2" s="1"/>
  <c r="I239" i="2"/>
  <c r="I273" i="2" s="1"/>
  <c r="J266" i="2"/>
  <c r="I292" i="2"/>
  <c r="I297" i="2" s="1"/>
  <c r="H297" i="2"/>
  <c r="H262" i="2"/>
  <c r="H273" i="2" s="1"/>
  <c r="I105" i="2"/>
  <c r="I226" i="2"/>
  <c r="I248" i="2"/>
  <c r="I255" i="2" s="1"/>
  <c r="E27" i="4"/>
  <c r="E72" i="4" s="1"/>
  <c r="E74" i="4" s="1"/>
  <c r="D232" i="4"/>
  <c r="D72" i="4"/>
  <c r="D74" i="4" s="1"/>
  <c r="B90" i="4"/>
  <c r="B143" i="4" s="1"/>
  <c r="C190" i="4"/>
  <c r="B244" i="4"/>
  <c r="D50" i="4"/>
  <c r="C90" i="4"/>
  <c r="C143" i="4" s="1"/>
  <c r="C379" i="4" s="1"/>
  <c r="B114" i="4"/>
  <c r="C128" i="4"/>
  <c r="B269" i="4"/>
  <c r="E311" i="4"/>
  <c r="G98" i="4"/>
  <c r="C232" i="4"/>
  <c r="B333" i="4"/>
  <c r="F90" i="4"/>
  <c r="D103" i="4"/>
  <c r="D114" i="4" s="1"/>
  <c r="E291" i="4"/>
  <c r="G291" i="4"/>
  <c r="C370" i="4"/>
  <c r="B60" i="4"/>
  <c r="B98" i="4"/>
  <c r="C114" i="4"/>
  <c r="G190" i="4"/>
  <c r="F340" i="4"/>
  <c r="G368" i="4"/>
  <c r="G370" i="4" s="1"/>
  <c r="C50" i="4"/>
  <c r="F232" i="4"/>
  <c r="G244" i="4"/>
  <c r="G320" i="4"/>
  <c r="G333" i="4" s="1"/>
  <c r="F330" i="4"/>
  <c r="F333" i="4" s="1"/>
  <c r="G90" i="4"/>
  <c r="B159" i="4"/>
  <c r="B190" i="4" s="1"/>
  <c r="E169" i="4"/>
  <c r="E190" i="4" s="1"/>
  <c r="C244" i="4"/>
  <c r="B291" i="4"/>
  <c r="E301" i="4"/>
  <c r="E333" i="4" s="1"/>
  <c r="B330" i="4"/>
  <c r="B27" i="4"/>
  <c r="G27" i="4"/>
  <c r="G72" i="4" s="1"/>
  <c r="G74" i="4" s="1"/>
  <c r="F50" i="4"/>
  <c r="F72" i="4" s="1"/>
  <c r="F74" i="4" s="1"/>
  <c r="D85" i="4"/>
  <c r="D90" i="4" s="1"/>
  <c r="D143" i="4" s="1"/>
  <c r="D379" i="4" s="1"/>
  <c r="F98" i="4"/>
  <c r="G103" i="4"/>
  <c r="G114" i="4" s="1"/>
  <c r="D330" i="4"/>
  <c r="D333" i="4" s="1"/>
  <c r="C27" i="4"/>
  <c r="E98" i="4"/>
  <c r="E143" i="4" s="1"/>
  <c r="E379" i="4" s="1"/>
  <c r="D190" i="4"/>
  <c r="B232" i="4"/>
  <c r="F252" i="4"/>
  <c r="E269" i="4"/>
  <c r="C340" i="4"/>
  <c r="F370" i="4"/>
  <c r="F71" i="4"/>
  <c r="F276" i="4"/>
  <c r="F291" i="4" s="1"/>
  <c r="H299" i="2" l="1"/>
  <c r="M330" i="1"/>
  <c r="M332" i="1" s="1"/>
  <c r="G299" i="2"/>
  <c r="B301" i="2"/>
  <c r="B379" i="4"/>
  <c r="D201" i="1"/>
  <c r="D193" i="3" s="1"/>
  <c r="I182" i="3"/>
  <c r="H190" i="1"/>
  <c r="I183" i="3" s="1"/>
  <c r="I59" i="3"/>
  <c r="I50" i="2"/>
  <c r="C299" i="2"/>
  <c r="C301" i="2" s="1"/>
  <c r="J292" i="3"/>
  <c r="J271" i="2"/>
  <c r="J226" i="3"/>
  <c r="J212" i="2"/>
  <c r="C72" i="1"/>
  <c r="E43" i="2"/>
  <c r="E45" i="2" s="1"/>
  <c r="I157" i="3"/>
  <c r="H163" i="1"/>
  <c r="N61" i="3"/>
  <c r="N63" i="1"/>
  <c r="F102" i="2"/>
  <c r="F299" i="2" s="1"/>
  <c r="F301" i="2" s="1"/>
  <c r="E222" i="3"/>
  <c r="E239" i="1"/>
  <c r="E231" i="3" s="1"/>
  <c r="H70" i="3"/>
  <c r="I115" i="1"/>
  <c r="I101" i="3"/>
  <c r="H106" i="1"/>
  <c r="I103" i="3" s="1"/>
  <c r="G15" i="3"/>
  <c r="G53" i="1"/>
  <c r="H237" i="1"/>
  <c r="I229" i="3" s="1"/>
  <c r="I225" i="3"/>
  <c r="J5" i="3"/>
  <c r="J5" i="2"/>
  <c r="K53" i="1"/>
  <c r="K208" i="1"/>
  <c r="K205" i="1"/>
  <c r="C15" i="3"/>
  <c r="C53" i="1"/>
  <c r="D301" i="2"/>
  <c r="I200" i="3"/>
  <c r="H211" i="1"/>
  <c r="J94" i="3"/>
  <c r="J84" i="2"/>
  <c r="D15" i="3"/>
  <c r="D53" i="1"/>
  <c r="I139" i="3"/>
  <c r="H150" i="1"/>
  <c r="I146" i="3" s="1"/>
  <c r="J103" i="3"/>
  <c r="J93" i="2"/>
  <c r="I28" i="3"/>
  <c r="H34" i="1"/>
  <c r="I34" i="3" s="1"/>
  <c r="I284" i="3"/>
  <c r="H301" i="1"/>
  <c r="I292" i="3" s="1"/>
  <c r="F70" i="3"/>
  <c r="F115" i="1"/>
  <c r="I18" i="3"/>
  <c r="H40" i="1"/>
  <c r="B72" i="4"/>
  <c r="B74" i="4" s="1"/>
  <c r="B381" i="4" s="1"/>
  <c r="G143" i="4"/>
  <c r="G379" i="4" s="1"/>
  <c r="G381" i="4" s="1"/>
  <c r="C72" i="4"/>
  <c r="C74" i="4" s="1"/>
  <c r="C381" i="4" s="1"/>
  <c r="I222" i="3"/>
  <c r="J228" i="3"/>
  <c r="J214" i="2"/>
  <c r="C97" i="1"/>
  <c r="C95" i="3" s="1"/>
  <c r="I69" i="3"/>
  <c r="I60" i="2"/>
  <c r="H84" i="3"/>
  <c r="I97" i="1"/>
  <c r="H95" i="3" s="1"/>
  <c r="I53" i="1"/>
  <c r="D157" i="1"/>
  <c r="D153" i="3" s="1"/>
  <c r="H67" i="1"/>
  <c r="H72" i="1" s="1"/>
  <c r="C40" i="1"/>
  <c r="C38" i="3" s="1"/>
  <c r="J91" i="3"/>
  <c r="J81" i="2"/>
  <c r="E72" i="1"/>
  <c r="E201" i="1"/>
  <c r="E193" i="3" s="1"/>
  <c r="G65" i="3"/>
  <c r="G72" i="1"/>
  <c r="J159" i="3"/>
  <c r="J149" i="2"/>
  <c r="K201" i="1"/>
  <c r="D65" i="3"/>
  <c r="D72" i="1"/>
  <c r="F143" i="4"/>
  <c r="F379" i="4" s="1"/>
  <c r="F381" i="4" s="1"/>
  <c r="I143" i="2"/>
  <c r="I240" i="3"/>
  <c r="H250" i="1"/>
  <c r="I241" i="3" s="1"/>
  <c r="I304" i="3"/>
  <c r="H319" i="1"/>
  <c r="I310" i="3" s="1"/>
  <c r="I134" i="3"/>
  <c r="H140" i="1"/>
  <c r="I136" i="3" s="1"/>
  <c r="J136" i="3"/>
  <c r="J126" i="2"/>
  <c r="J227" i="3"/>
  <c r="J213" i="2"/>
  <c r="J246" i="3"/>
  <c r="J231" i="2"/>
  <c r="H328" i="1"/>
  <c r="I319" i="3" s="1"/>
  <c r="H43" i="2"/>
  <c r="H45" i="2" s="1"/>
  <c r="H301" i="2" s="1"/>
  <c r="D303" i="1"/>
  <c r="D294" i="3" s="1"/>
  <c r="D264" i="1"/>
  <c r="D255" i="3" s="1"/>
  <c r="D97" i="1"/>
  <c r="D95" i="3" s="1"/>
  <c r="B102" i="2"/>
  <c r="B299" i="2" s="1"/>
  <c r="I85" i="3"/>
  <c r="H89" i="1"/>
  <c r="I87" i="3" s="1"/>
  <c r="H15" i="1"/>
  <c r="I8" i="3"/>
  <c r="F241" i="3"/>
  <c r="F264" i="1"/>
  <c r="F255" i="3" s="1"/>
  <c r="J225" i="3"/>
  <c r="J211" i="2"/>
  <c r="K237" i="1"/>
  <c r="C222" i="3"/>
  <c r="C239" i="1"/>
  <c r="C231" i="3" s="1"/>
  <c r="B157" i="1"/>
  <c r="B153" i="3" s="1"/>
  <c r="O85" i="3"/>
  <c r="N87" i="1"/>
  <c r="N89" i="1" s="1"/>
  <c r="B72" i="1"/>
  <c r="G159" i="3"/>
  <c r="G201" i="1"/>
  <c r="G193" i="3" s="1"/>
  <c r="G127" i="1"/>
  <c r="G87" i="3"/>
  <c r="G97" i="1"/>
  <c r="G95" i="3" s="1"/>
  <c r="I257" i="3"/>
  <c r="H303" i="1"/>
  <c r="I294" i="3" s="1"/>
  <c r="H222" i="3"/>
  <c r="I239" i="1"/>
  <c r="H231" i="3" s="1"/>
  <c r="M65" i="3"/>
  <c r="S67" i="1"/>
  <c r="Q71" i="1"/>
  <c r="M69" i="3" s="1"/>
  <c r="K71" i="1"/>
  <c r="K69" i="1"/>
  <c r="K264" i="1"/>
  <c r="J38" i="3"/>
  <c r="J36" i="2"/>
  <c r="K157" i="1"/>
  <c r="G246" i="3"/>
  <c r="G264" i="1"/>
  <c r="G255" i="3" s="1"/>
  <c r="K303" i="1"/>
  <c r="H264" i="3"/>
  <c r="I303" i="1"/>
  <c r="H294" i="3" s="1"/>
  <c r="H123" i="3"/>
  <c r="I157" i="1"/>
  <c r="H153" i="3" s="1"/>
  <c r="B84" i="3"/>
  <c r="B97" i="1"/>
  <c r="B95" i="3" s="1"/>
  <c r="I67" i="3"/>
  <c r="I58" i="2"/>
  <c r="F122" i="3"/>
  <c r="F127" i="1"/>
  <c r="C303" i="1"/>
  <c r="C294" i="3" s="1"/>
  <c r="I47" i="3"/>
  <c r="I38" i="2"/>
  <c r="G303" i="1"/>
  <c r="G294" i="3" s="1"/>
  <c r="E264" i="3"/>
  <c r="E303" i="1"/>
  <c r="E294" i="3" s="1"/>
  <c r="E84" i="3"/>
  <c r="E97" i="1"/>
  <c r="E95" i="3" s="1"/>
  <c r="E15" i="3"/>
  <c r="E53" i="1"/>
  <c r="F222" i="3"/>
  <c r="F239" i="1"/>
  <c r="F231" i="3" s="1"/>
  <c r="B159" i="3"/>
  <c r="B201" i="1"/>
  <c r="B193" i="3" s="1"/>
  <c r="J82" i="3"/>
  <c r="J72" i="2"/>
  <c r="N84" i="1"/>
  <c r="K85" i="1"/>
  <c r="K86" i="1" s="1"/>
  <c r="E157" i="1"/>
  <c r="E153" i="3" s="1"/>
  <c r="N213" i="1"/>
  <c r="D381" i="4"/>
  <c r="B15" i="3"/>
  <c r="B53" i="1"/>
  <c r="G301" i="2"/>
  <c r="F52" i="3"/>
  <c r="F55" i="1"/>
  <c r="E381" i="4"/>
  <c r="B303" i="1"/>
  <c r="B294" i="3" s="1"/>
  <c r="I264" i="1"/>
  <c r="H255" i="3" s="1"/>
  <c r="I235" i="3"/>
  <c r="H264" i="1"/>
  <c r="I255" i="3" s="1"/>
  <c r="I82" i="3"/>
  <c r="H86" i="1"/>
  <c r="E299" i="2"/>
  <c r="I121" i="3"/>
  <c r="H125" i="1"/>
  <c r="J282" i="3"/>
  <c r="J262" i="2"/>
  <c r="C157" i="1"/>
  <c r="C153" i="3" s="1"/>
  <c r="H81" i="1"/>
  <c r="I79" i="3" s="1"/>
  <c r="J61" i="3"/>
  <c r="J52" i="2"/>
  <c r="K67" i="1"/>
  <c r="J84" i="3" l="1"/>
  <c r="J74" i="2"/>
  <c r="K97" i="1"/>
  <c r="I70" i="3"/>
  <c r="H115" i="1"/>
  <c r="E52" i="3"/>
  <c r="E55" i="1"/>
  <c r="J229" i="3"/>
  <c r="J215" i="2"/>
  <c r="K239" i="1"/>
  <c r="B52" i="3"/>
  <c r="B55" i="1"/>
  <c r="J193" i="3"/>
  <c r="J181" i="2"/>
  <c r="J200" i="3"/>
  <c r="J187" i="2"/>
  <c r="K211" i="1"/>
  <c r="N85" i="1"/>
  <c r="N86" i="1"/>
  <c r="N97" i="1" s="1"/>
  <c r="N111" i="1" s="1"/>
  <c r="J197" i="3"/>
  <c r="J185" i="2"/>
  <c r="K213" i="1"/>
  <c r="F123" i="3"/>
  <c r="F157" i="1"/>
  <c r="F153" i="3" s="1"/>
  <c r="J255" i="3"/>
  <c r="J237" i="2"/>
  <c r="B70" i="3"/>
  <c r="B115" i="1"/>
  <c r="I38" i="3"/>
  <c r="I36" i="2"/>
  <c r="J52" i="3"/>
  <c r="J43" i="2"/>
  <c r="K55" i="1"/>
  <c r="I159" i="3"/>
  <c r="H201" i="1"/>
  <c r="I193" i="3" s="1"/>
  <c r="H112" i="3"/>
  <c r="I330" i="1"/>
  <c r="H321" i="3" s="1"/>
  <c r="I122" i="3"/>
  <c r="H127" i="1"/>
  <c r="J294" i="3"/>
  <c r="J273" i="2"/>
  <c r="J69" i="3"/>
  <c r="J60" i="2"/>
  <c r="G70" i="3"/>
  <c r="G115" i="1"/>
  <c r="E301" i="2"/>
  <c r="J67" i="3"/>
  <c r="J58" i="2"/>
  <c r="I65" i="3"/>
  <c r="I56" i="2"/>
  <c r="I203" i="3"/>
  <c r="H213" i="1"/>
  <c r="I205" i="3" s="1"/>
  <c r="I61" i="2"/>
  <c r="I102" i="2" s="1"/>
  <c r="I299" i="2" s="1"/>
  <c r="J65" i="3"/>
  <c r="J56" i="2"/>
  <c r="K72" i="1"/>
  <c r="K70" i="1"/>
  <c r="H52" i="3"/>
  <c r="I55" i="1"/>
  <c r="H239" i="1"/>
  <c r="I231" i="3" s="1"/>
  <c r="F112" i="3"/>
  <c r="C70" i="3"/>
  <c r="C115" i="1"/>
  <c r="C52" i="3"/>
  <c r="C55" i="1"/>
  <c r="F54" i="3"/>
  <c r="I84" i="3"/>
  <c r="H97" i="1"/>
  <c r="I95" i="3" s="1"/>
  <c r="J83" i="3"/>
  <c r="J73" i="2"/>
  <c r="J153" i="3"/>
  <c r="J143" i="2"/>
  <c r="N65" i="3"/>
  <c r="S71" i="1"/>
  <c r="N69" i="3" s="1"/>
  <c r="G123" i="3"/>
  <c r="G157" i="1"/>
  <c r="G153" i="3" s="1"/>
  <c r="I15" i="3"/>
  <c r="H53" i="1"/>
  <c r="I13" i="2"/>
  <c r="I43" i="2" s="1"/>
  <c r="I45" i="2" s="1"/>
  <c r="D70" i="3"/>
  <c r="D115" i="1"/>
  <c r="E70" i="3"/>
  <c r="E115" i="1"/>
  <c r="D52" i="3"/>
  <c r="D55" i="1"/>
  <c r="G52" i="3"/>
  <c r="G55" i="1"/>
  <c r="J70" i="3" l="1"/>
  <c r="J61" i="2"/>
  <c r="E112" i="3"/>
  <c r="E330" i="1"/>
  <c r="E321" i="3" s="1"/>
  <c r="I123" i="3"/>
  <c r="H157" i="1"/>
  <c r="I153" i="3" s="1"/>
  <c r="E54" i="3"/>
  <c r="N69" i="1"/>
  <c r="F330" i="1"/>
  <c r="J205" i="3"/>
  <c r="J192" i="2"/>
  <c r="I112" i="3"/>
  <c r="N70" i="1"/>
  <c r="S70" i="1" s="1"/>
  <c r="N68" i="3" s="1"/>
  <c r="B112" i="3"/>
  <c r="B330" i="1"/>
  <c r="B321" i="3" s="1"/>
  <c r="B54" i="3"/>
  <c r="G112" i="3"/>
  <c r="G330" i="1"/>
  <c r="G321" i="3" s="1"/>
  <c r="G54" i="3"/>
  <c r="G332" i="1"/>
  <c r="G323" i="3" s="1"/>
  <c r="J95" i="3"/>
  <c r="J85" i="2"/>
  <c r="K111" i="1"/>
  <c r="I301" i="2"/>
  <c r="H54" i="3"/>
  <c r="I332" i="1"/>
  <c r="H323" i="3" s="1"/>
  <c r="C54" i="3"/>
  <c r="C332" i="1"/>
  <c r="C323" i="3" s="1"/>
  <c r="J231" i="3"/>
  <c r="J217" i="2"/>
  <c r="C112" i="3"/>
  <c r="C330" i="1"/>
  <c r="C321" i="3" s="1"/>
  <c r="D112" i="3"/>
  <c r="D330" i="1"/>
  <c r="D321" i="3" s="1"/>
  <c r="I52" i="3"/>
  <c r="H55" i="1"/>
  <c r="D54" i="3"/>
  <c r="J68" i="3"/>
  <c r="J59" i="2"/>
  <c r="J54" i="3"/>
  <c r="J45" i="2"/>
  <c r="J203" i="3"/>
  <c r="J190" i="2"/>
  <c r="I54" i="3" l="1"/>
  <c r="B332" i="1"/>
  <c r="B323" i="3" s="1"/>
  <c r="H330" i="1"/>
  <c r="I321" i="3" s="1"/>
  <c r="J108" i="3"/>
  <c r="J98" i="2"/>
  <c r="F321" i="3"/>
  <c r="F332" i="1"/>
  <c r="F323" i="3" s="1"/>
  <c r="K115" i="1"/>
  <c r="D332" i="1"/>
  <c r="D323" i="3" s="1"/>
  <c r="S69" i="1"/>
  <c r="N67" i="3" s="1"/>
  <c r="N72" i="1"/>
  <c r="N115" i="1" s="1"/>
  <c r="N330" i="1" s="1"/>
  <c r="N332" i="1" s="1"/>
  <c r="E332" i="1"/>
  <c r="E323" i="3" s="1"/>
  <c r="H332" i="1" l="1"/>
  <c r="I323" i="3" s="1"/>
  <c r="J112" i="3"/>
  <c r="K330" i="1"/>
  <c r="J102" i="2"/>
  <c r="J321" i="3" l="1"/>
  <c r="J299" i="2"/>
  <c r="K332" i="1"/>
  <c r="J323" i="3" l="1"/>
  <c r="J30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63" authorId="0" shapeId="0" xr:uid="{00000000-0006-0000-0000-000003000000}">
      <text>
        <r>
          <rPr>
            <sz val="11"/>
            <color rgb="FF000000"/>
            <rFont val="Arial"/>
          </rPr>
          <t>======
ID#AAAARdH5DQg
    (2021-11-05 16:37:22)
New comp package</t>
        </r>
      </text>
    </comment>
    <comment ref="S63" authorId="0" shapeId="0" xr:uid="{00000000-0006-0000-0000-000002000000}">
      <text>
        <r>
          <rPr>
            <sz val="11"/>
            <color rgb="FF000000"/>
            <rFont val="Arial"/>
          </rPr>
          <t>======
ID#AAAARdH5DQk
    (2021-11-05 16:37:22)
New comp package</t>
        </r>
      </text>
    </comment>
    <comment ref="K72" authorId="0" shapeId="0" xr:uid="{00000000-0006-0000-0000-000006000000}">
      <text>
        <r>
          <rPr>
            <sz val="11"/>
            <color rgb="FF000000"/>
            <rFont val="Arial"/>
          </rPr>
          <t>======
ID#AAAARdH5DQI
    (2021-11-05 16:37:22)
FY21 Budget accounts for 2 months of parsonage-included compensation &amp; 10 months of new comp package
------
ID#AAAARyRGZVY
Joy Reigns    (2021-11-16 16:23:34)
Paid at 2.5 months parsonage (1/16 - 3/31/21), 9.5 months new compensation (4/1/21 - 1/15/22).</t>
        </r>
      </text>
    </comment>
    <comment ref="K96" authorId="0" shapeId="0" xr:uid="{00000000-0006-0000-0000-000005000000}">
      <text>
        <r>
          <rPr>
            <sz val="11"/>
            <color rgb="FF000000"/>
            <rFont val="Arial"/>
          </rPr>
          <t>======
ID#AAAARdH5DQM
    (2021-11-05 16:37:22)
17 weeks virtual; 35 in-person</t>
        </r>
      </text>
    </comment>
    <comment ref="K128" authorId="0" shapeId="0" xr:uid="{00000000-0006-0000-0000-000007000000}">
      <text>
        <r>
          <rPr>
            <sz val="11"/>
            <color rgb="FF000000"/>
            <rFont val="Arial"/>
          </rPr>
          <t>======
ID#AAAARdH5DPo
    (2021-11-05 16:37:22)
120	book dots, 1 roll per month
540	Tags,  	3 boxes per month
360	dots, 	3 packs per month
360	bags, 	3 boxes per month
500	xmas, 	gifts and food
360	tag refill,  3 boxes per month
60 shoe ties, 1 pack every other month
300	misc	
2600	Total</t>
        </r>
      </text>
    </comment>
    <comment ref="E220" authorId="0" shapeId="0" xr:uid="{00000000-0006-0000-0000-000004000000}">
      <text>
        <r>
          <rPr>
            <sz val="11"/>
            <color rgb="FF000000"/>
            <rFont val="Arial"/>
          </rPr>
          <t>======
ID#AAAARdH5DQQ
    (2021-11-05 16:37:22)
Bread of Life Painting Share</t>
        </r>
      </text>
    </comment>
    <comment ref="G252" authorId="0" shapeId="0" xr:uid="{00000000-0006-0000-0000-000001000000}">
      <text>
        <r>
          <rPr>
            <sz val="11"/>
            <color rgb="FF000000"/>
            <rFont val="Arial"/>
          </rPr>
          <t>======
ID#AAAARdH5DQo
    (2021-11-05 16:37:22)
We paid for 2 years this go round because the cc had expired and was not updated and we were never billed for 2019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RnUnSmpe6+OsxQjNr/yn2xI4XG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52" authorId="0" shapeId="0" xr:uid="{00000000-0006-0000-0100-000003000000}">
      <text>
        <r>
          <rPr>
            <sz val="11"/>
            <color rgb="FF000000"/>
            <rFont val="Arial"/>
          </rPr>
          <t>======
ID#AAAARdH5DQA
    (2021-11-05 16:37:22)
New comp package</t>
        </r>
      </text>
    </comment>
    <comment ref="N52" authorId="0" shapeId="0" xr:uid="{00000000-0006-0000-0100-000002000000}">
      <text>
        <r>
          <rPr>
            <sz val="11"/>
            <color rgb="FF000000"/>
            <rFont val="Arial"/>
          </rPr>
          <t>======
ID#AAAARdH5DQc
    (2021-11-05 16:37:22)
current (parsonage) comp package</t>
        </r>
      </text>
    </comment>
    <comment ref="J61" authorId="0" shapeId="0" xr:uid="{00000000-0006-0000-0100-000005000000}">
      <text>
        <r>
          <rPr>
            <sz val="11"/>
            <color rgb="FF000000"/>
            <rFont val="Arial"/>
          </rPr>
          <t>======
ID#AAAARdH5DPw
    (2021-11-05 16:37:22)
FY21 Budget accounts for 2 months of parsonage-included compensation &amp; 10 months of new comp package</t>
        </r>
      </text>
    </comment>
    <comment ref="J84" authorId="0" shapeId="0" xr:uid="{00000000-0006-0000-0100-000006000000}">
      <text>
        <r>
          <rPr>
            <sz val="11"/>
            <color rgb="FF000000"/>
            <rFont val="Arial"/>
          </rPr>
          <t>======
ID#AAAARdH5DPk
    (2021-11-05 16:37:22)
17 weeks virtual; 35 in-person</t>
        </r>
      </text>
    </comment>
    <comment ref="J114" authorId="0" shapeId="0" xr:uid="{00000000-0006-0000-0100-000001000000}">
      <text>
        <r>
          <rPr>
            <sz val="11"/>
            <color rgb="FF000000"/>
            <rFont val="Arial"/>
          </rPr>
          <t>======
ID#AAAARdH5DQs
    (2021-11-05 16:37:22)
120	book dots, 1 roll per month
540	Tags,  	3 boxes per month
360	dots, 	3 packs per month
360	bags, 	3 boxes per month
500	xmas, 	gifts and food
360	tag refill,  3 boxes per month
60 shoe ties, 1 pack every other month
300	misc	
2600	Total</t>
        </r>
      </text>
    </comment>
    <comment ref="E199" authorId="0" shapeId="0" xr:uid="{00000000-0006-0000-0100-000004000000}">
      <text>
        <r>
          <rPr>
            <sz val="11"/>
            <color rgb="FF000000"/>
            <rFont val="Arial"/>
          </rPr>
          <t>======
ID#AAAARdH5DP8
    (2021-11-05 16:37:22)
Bread of Life Painting Share</t>
        </r>
      </text>
    </comment>
    <comment ref="H229" authorId="0" shapeId="0" xr:uid="{00000000-0006-0000-0100-000007000000}">
      <text>
        <r>
          <rPr>
            <sz val="11"/>
            <color rgb="FF000000"/>
            <rFont val="Arial"/>
          </rPr>
          <t>======
ID#AAAARdH5DPc
    (2021-11-05 16:37:22)
We paid for 2 years this go round because the cc had expired and was not updated and we were never billed for 2019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vhPxRLBpX3CnI+1d+GuvUBOpuyQ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61" authorId="0" shapeId="0" xr:uid="{00000000-0006-0000-0200-000001000000}">
      <text>
        <r>
          <rPr>
            <sz val="11"/>
            <color rgb="FF000000"/>
            <rFont val="Arial"/>
          </rPr>
          <t>======
ID#AAAARdH5DQY
    (2021-11-05 16:37:22)
New comp package</t>
        </r>
      </text>
    </comment>
    <comment ref="N61" authorId="0" shapeId="0" xr:uid="{00000000-0006-0000-0200-000006000000}">
      <text>
        <r>
          <rPr>
            <sz val="11"/>
            <color rgb="FF000000"/>
            <rFont val="Arial"/>
          </rPr>
          <t>======
ID#AAAARdH5DPg
    (2021-11-05 16:37:22)
current (parsonage) comp package</t>
        </r>
      </text>
    </comment>
    <comment ref="J70" authorId="0" shapeId="0" xr:uid="{00000000-0006-0000-0200-000004000000}">
      <text>
        <r>
          <rPr>
            <sz val="11"/>
            <color rgb="FF000000"/>
            <rFont val="Arial"/>
          </rPr>
          <t>======
ID#AAAARdH5DP0
    (2021-11-05 16:37:22)
FY21 Budget accounts for 2 months of parsonage-included compensation &amp; 10 months of new comp package</t>
        </r>
      </text>
    </comment>
    <comment ref="J94" authorId="0" shapeId="0" xr:uid="{00000000-0006-0000-0200-000007000000}">
      <text>
        <r>
          <rPr>
            <sz val="11"/>
            <color rgb="FF000000"/>
            <rFont val="Arial"/>
          </rPr>
          <t>======
ID#AAAARdH5DPY
    (2021-11-05 16:37:22)
17 weeks virtual; 35 in-person</t>
        </r>
      </text>
    </comment>
    <comment ref="J124" authorId="0" shapeId="0" xr:uid="{00000000-0006-0000-0200-000003000000}">
      <text>
        <r>
          <rPr>
            <sz val="11"/>
            <color rgb="FF000000"/>
            <rFont val="Arial"/>
          </rPr>
          <t>======
ID#AAAARdH5DP4
    (2021-11-05 16:37:22)
120	book dots, 1 roll per month
540	Tags,  	3 boxes per month
360	dots, 	3 packs per month
360	bags, 	3 boxes per month
500	xmas, 	gifts and food
360	tag refill,  3 boxes per month
60 shoe ties, 1 pack every other month
300	misc	
2600	Total</t>
        </r>
      </text>
    </comment>
    <comment ref="E212" authorId="0" shapeId="0" xr:uid="{00000000-0006-0000-0200-000002000000}">
      <text>
        <r>
          <rPr>
            <sz val="11"/>
            <color rgb="FF000000"/>
            <rFont val="Arial"/>
          </rPr>
          <t>======
ID#AAAARdH5DQE
    (2021-11-05 16:37:22)
Bread of Life Painting Share</t>
        </r>
      </text>
    </comment>
    <comment ref="G243" authorId="0" shapeId="0" xr:uid="{00000000-0006-0000-0200-000005000000}">
      <text>
        <r>
          <rPr>
            <sz val="11"/>
            <color rgb="FF000000"/>
            <rFont val="Arial"/>
          </rPr>
          <t>======
ID#AAAARdH5DPs
    (2021-11-05 16:37:22)
We paid for 2 years this go round because the cc had expired and was not updated and we were never billed for 2019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3WUziH+T+IF/yUqCEKHBHu5W8bQ=="/>
    </ext>
  </extLst>
</comments>
</file>

<file path=xl/sharedStrings.xml><?xml version="1.0" encoding="utf-8"?>
<sst xmlns="http://schemas.openxmlformats.org/spreadsheetml/2006/main" count="1400" uniqueCount="666">
  <si>
    <t>Trailing 12-month</t>
  </si>
  <si>
    <t>YTD</t>
  </si>
  <si>
    <t>ACTUALS FY20</t>
  </si>
  <si>
    <r>
      <rPr>
        <b/>
        <sz val="12"/>
        <color theme="1"/>
        <rFont val="Calibri"/>
      </rPr>
      <t xml:space="preserve">BUDGET FY20 </t>
    </r>
    <r>
      <rPr>
        <b/>
        <sz val="10"/>
        <color theme="1"/>
        <rFont val="Calibri"/>
      </rPr>
      <t>(Rev mid-year)</t>
    </r>
  </si>
  <si>
    <t>QUICKBOOKS INPUT</t>
  </si>
  <si>
    <t>BUDGET FY21</t>
  </si>
  <si>
    <t>ACTUALS FY21</t>
  </si>
  <si>
    <t>PROJECTIONS FY21</t>
  </si>
  <si>
    <t>BUDGET FY22</t>
  </si>
  <si>
    <t>Feb 2016 - Jan 2017</t>
  </si>
  <si>
    <t>Feb 2017 - Jan 2018</t>
  </si>
  <si>
    <t>Feb 2018 - Jan 2019</t>
  </si>
  <si>
    <t>Feb 2019 - Jan 2020</t>
  </si>
  <si>
    <t>Oct 2019 - Sep 2020</t>
  </si>
  <si>
    <t>Feb 1, 2020 - Jan 31, 2021</t>
  </si>
  <si>
    <t>Feb 2020 - Jan 2021</t>
  </si>
  <si>
    <t>Feb 2020 -     Jan 2021</t>
  </si>
  <si>
    <t>1=MONTHLY 2=QUARTERLY 3=OTHER</t>
  </si>
  <si>
    <t>Feb 2021 -      Jan 2022</t>
  </si>
  <si>
    <t>Feb 2021 -
Jan 15, 2022</t>
  </si>
  <si>
    <t>Feb 2021 -     Jan 2022</t>
  </si>
  <si>
    <t>Feb 2022 -
Jan 2023</t>
  </si>
  <si>
    <t>Notes</t>
  </si>
  <si>
    <t>Income</t>
  </si>
  <si>
    <t xml:space="preserve">   1375  Prior Year Surplus</t>
  </si>
  <si>
    <t>3,FEB</t>
  </si>
  <si>
    <t>2021 Surplus</t>
  </si>
  <si>
    <t xml:space="preserve">   1400 General Congregational</t>
  </si>
  <si>
    <t>1</t>
  </si>
  <si>
    <t>(8 months @ 8% increase over FY20 projected 12-month) for the budget, Feb-May is FY20 Actuals/12, June-Jan is FY20 Actuals*1.08/12; pre-paid giving divided evenly among 12 months and added to the monthly totals ($18464.24/12 = $1538.69 added to each month). 8% increase closely matches pledges from Pathways to Generosity.</t>
  </si>
  <si>
    <t xml:space="preserve">   1650 PPP Funds</t>
  </si>
  <si>
    <t xml:space="preserve">   1700 Other Income</t>
  </si>
  <si>
    <t xml:space="preserve">      1705 Credit Card Rewards/Refunds</t>
  </si>
  <si>
    <t>2</t>
  </si>
  <si>
    <t xml:space="preserve">      1710 Coffee</t>
  </si>
  <si>
    <t>tied to expense</t>
  </si>
  <si>
    <t xml:space="preserve">      1740 Thrift Shop</t>
  </si>
  <si>
    <t>averaging about $900/weekend; revisit after Nov. &amp; Dec.</t>
  </si>
  <si>
    <t xml:space="preserve">      1750 Online Proceeds</t>
  </si>
  <si>
    <t>profit from Scrip, interest on savings account, facebook, Amazonsmile, etc.</t>
  </si>
  <si>
    <t xml:space="preserve">      1760 Special Donations (deleted)</t>
  </si>
  <si>
    <t>What is this again?</t>
  </si>
  <si>
    <t xml:space="preserve">      1765 Thrivent Funds</t>
  </si>
  <si>
    <t>Lutheran insurance company - designated funds from congregant's annuity earnings, interest, etc to come to use</t>
  </si>
  <si>
    <t xml:space="preserve">      1770 CC Payments from Savings to Op Acct</t>
  </si>
  <si>
    <t xml:space="preserve">   Total 1700 Other Income</t>
  </si>
  <si>
    <t xml:space="preserve">   1800 Designated Giving</t>
  </si>
  <si>
    <t xml:space="preserve">      1801 VBS General</t>
  </si>
  <si>
    <t>3,JUL-AUG</t>
  </si>
  <si>
    <t>Tied to expense line item 5644</t>
  </si>
  <si>
    <t xml:space="preserve">      1802 Thrift Shop Community Jar</t>
  </si>
  <si>
    <t>directly tied to 5227</t>
  </si>
  <si>
    <t xml:space="preserve">      1803 Children's Ministry Events</t>
  </si>
  <si>
    <t xml:space="preserve">      1804 Youth Ministry Events</t>
  </si>
  <si>
    <t>3,OCT-NOV</t>
  </si>
  <si>
    <t>~10 kids in confirmation, not everyone pays as it is a requested donation</t>
  </si>
  <si>
    <t xml:space="preserve">      1805 SHY Ministry Events</t>
  </si>
  <si>
    <t xml:space="preserve">      1808 Bibles</t>
  </si>
  <si>
    <t xml:space="preserve">      1809 Local/National Serving</t>
  </si>
  <si>
    <t>corresponds to 5228 line item; special donations to local need/disaster that goes out thru 5228</t>
  </si>
  <si>
    <t xml:space="preserve">      1810 International Serving</t>
  </si>
  <si>
    <t xml:space="preserve">      1811 Other Special Giving Opportunities</t>
  </si>
  <si>
    <t xml:space="preserve">         1811A Facilities and Thrift Shop</t>
  </si>
  <si>
    <t>Comes from giving designated for physical plant/T.S. (money that does not go to Synod)</t>
  </si>
  <si>
    <t xml:space="preserve">         1811B Congregational Meals</t>
  </si>
  <si>
    <t xml:space="preserve">         1811C Books</t>
  </si>
  <si>
    <t>Tied to expense for book club</t>
  </si>
  <si>
    <t xml:space="preserve">         1811D T-Shirts</t>
  </si>
  <si>
    <t>Tied to expense for God's work our Hands expenses</t>
  </si>
  <si>
    <t xml:space="preserve">         1811E Congregational Events</t>
  </si>
  <si>
    <t>purchases for Lenten meals, mission trips</t>
  </si>
  <si>
    <t xml:space="preserve">         1811F Sabbatical</t>
  </si>
  <si>
    <t>Every 5-7 Years (need to start planning)</t>
  </si>
  <si>
    <t xml:space="preserve">         1811G Food Ministry</t>
  </si>
  <si>
    <t>Corresponds to 5940 expense line item</t>
  </si>
  <si>
    <t xml:space="preserve">         1811H Miscellaneous</t>
  </si>
  <si>
    <t xml:space="preserve">      Total 1811 Other Special Giving Opportunities</t>
  </si>
  <si>
    <t xml:space="preserve">      1812 Memorial/In Honor Gifts</t>
  </si>
  <si>
    <t xml:space="preserve">      1813 Easter &amp; Christmas Flowers</t>
  </si>
  <si>
    <t>3,NOV-JAN</t>
  </si>
  <si>
    <t>Corresponds to 5314 expense line item</t>
  </si>
  <si>
    <t xml:space="preserve">      1814 CC Convenience Fee</t>
  </si>
  <si>
    <t>Corresponds to Square Fee 5007 line item, but less than expense because of use of square in Thrift</t>
  </si>
  <si>
    <t xml:space="preserve">      1815 Bank Fee Reimbursement</t>
  </si>
  <si>
    <t xml:space="preserve">     1816 Recovery House Living Donation</t>
  </si>
  <si>
    <t>Carried in Recovery House Budget</t>
  </si>
  <si>
    <t xml:space="preserve">   Total 1800 Designated Giving</t>
  </si>
  <si>
    <t xml:space="preserve">   1900 Building Rental</t>
  </si>
  <si>
    <t xml:space="preserve">      1901 Iglesia Apostoles y Profetas</t>
  </si>
  <si>
    <t xml:space="preserve">      1902 Parsonage (deleted)</t>
  </si>
  <si>
    <t xml:space="preserve">      1903 Joy Kids Learning Center (deleted)</t>
  </si>
  <si>
    <t xml:space="preserve">      1904 Joy Kids Profit Tithe (deleted)</t>
  </si>
  <si>
    <t xml:space="preserve">      1906 Iglecia Cristo (deleted)</t>
  </si>
  <si>
    <t xml:space="preserve">      1907 Music Lessons (deleted)</t>
  </si>
  <si>
    <t xml:space="preserve">   Total 1900 Building Rental</t>
  </si>
  <si>
    <t xml:space="preserve">   2065 Campaign Donations</t>
  </si>
  <si>
    <t xml:space="preserve">      2065A Next Chapter</t>
  </si>
  <si>
    <t>3,FEB-MAY</t>
  </si>
  <si>
    <t>Will go towards paying down principal on current MIF refinanced loan, so it's reflected in the mortgage expense (in/out)</t>
  </si>
  <si>
    <t xml:space="preserve">      2065B Anchored in Hope</t>
  </si>
  <si>
    <t>3, JUN-JAN</t>
  </si>
  <si>
    <t>FY21: Mortgage payment (1794), roof loan payment (768.38) from June-Jan; Parking Lot Resurface ($15K), Recovery House Start-up Costs ($30K), A/V Upgrade ($10K); includes FY21 Year End Donations designated to AiH</t>
  </si>
  <si>
    <t xml:space="preserve">   Total 2065 Campaign Donations</t>
  </si>
  <si>
    <t>Total Income</t>
  </si>
  <si>
    <t>Gross Profit</t>
  </si>
  <si>
    <t>Expenses</t>
  </si>
  <si>
    <t xml:space="preserve">  </t>
  </si>
  <si>
    <t xml:space="preserve">   3001 Staffing</t>
  </si>
  <si>
    <t>5.9% COL Increase</t>
  </si>
  <si>
    <t xml:space="preserve">      3010 Pastor Salary &amp; Benefits</t>
  </si>
  <si>
    <t>FY21 Budget accounts for 2.5 months of parsonage-included compensation &amp; 9.5 months of new comp package</t>
  </si>
  <si>
    <t xml:space="preserve">         3013 Health Insurance</t>
  </si>
  <si>
    <t>New 2021 Annual Salary:</t>
  </si>
  <si>
    <t>2022 comp pkg</t>
  </si>
  <si>
    <t xml:space="preserve">         3014 Housing Equity Allowance</t>
  </si>
  <si>
    <t>3,FEB-APR</t>
  </si>
  <si>
    <t xml:space="preserve">        9.5 mo pro-rated:</t>
  </si>
  <si>
    <t xml:space="preserve">         3015 Salary</t>
  </si>
  <si>
    <t>2020 comp</t>
  </si>
  <si>
    <t xml:space="preserve">            3015A Supplemental Life Premium</t>
  </si>
  <si>
    <t>2.5 mo pro-rated</t>
  </si>
  <si>
    <t xml:space="preserve">            3015B Healthcare FSA</t>
  </si>
  <si>
    <t xml:space="preserve">            3015C Dependent Daycare FSA</t>
  </si>
  <si>
    <t xml:space="preserve">         Total 3015 Salary</t>
  </si>
  <si>
    <t>Divided among 3015, 3016 and 3019</t>
  </si>
  <si>
    <t xml:space="preserve">         3016 Housing/Furnishings Allowance</t>
  </si>
  <si>
    <t xml:space="preserve">         3017 Pension</t>
  </si>
  <si>
    <t>per month</t>
  </si>
  <si>
    <t>1008.66 per mo</t>
  </si>
  <si>
    <t xml:space="preserve">         3018 Disability &amp; Group Life</t>
  </si>
  <si>
    <t>184.92 per mo</t>
  </si>
  <si>
    <t xml:space="preserve">         3019 Social Security &amp; Medicare Allowance</t>
  </si>
  <si>
    <t xml:space="preserve">      Total 3010 Pastor Salary &amp; Benefits</t>
  </si>
  <si>
    <t>2021 salary is 2.5 months 2020 salary &amp; 9.5 months new 2021 salary; 10,170.83 plus 2500 plus 969.38 plus 79,852 equals 93,492. times  1.059 equals 99,008</t>
  </si>
  <si>
    <t xml:space="preserve">      3020 Pastor Reimbursement</t>
  </si>
  <si>
    <t xml:space="preserve">         3021 Cell Phone Business Use</t>
  </si>
  <si>
    <t>$75/month</t>
  </si>
  <si>
    <t xml:space="preserve">         3022 Auto Use</t>
  </si>
  <si>
    <t xml:space="preserve">         3023 Meeting</t>
  </si>
  <si>
    <t xml:space="preserve">         3024 Continuing Ed</t>
  </si>
  <si>
    <t xml:space="preserve">         3026 Coaching</t>
  </si>
  <si>
    <t xml:space="preserve">         3027 Spiritual Director</t>
  </si>
  <si>
    <t xml:space="preserve">         3028 Emotional Wellness</t>
  </si>
  <si>
    <t>1 vist/month for mental health visit</t>
  </si>
  <si>
    <t xml:space="preserve">      Total 3020 Pastor Reimbursement</t>
  </si>
  <si>
    <t xml:space="preserve">      3040 Employee Salaries and Wages</t>
  </si>
  <si>
    <t>Hours</t>
  </si>
  <si>
    <t>Prev Wage</t>
  </si>
  <si>
    <t>SSCOLA</t>
  </si>
  <si>
    <t>New Wage</t>
  </si>
  <si>
    <t>FY22 Wage &amp; Hours</t>
  </si>
  <si>
    <t xml:space="preserve">         3040A Staffing NCC expanded ministry (deleted)</t>
  </si>
  <si>
    <t xml:space="preserve">         3041 Praise Band Leader</t>
  </si>
  <si>
    <t>1.059 cola</t>
  </si>
  <si>
    <t xml:space="preserve">            3041A Music Leader Extra Duty Pay</t>
  </si>
  <si>
    <t>3,APR,JAN</t>
  </si>
  <si>
    <t xml:space="preserve">         Total 3041 Praise Band Leader</t>
  </si>
  <si>
    <t xml:space="preserve">         3042 Youth Leader</t>
  </si>
  <si>
    <t xml:space="preserve">            3042A Youth Leader Mileage</t>
  </si>
  <si>
    <t xml:space="preserve">         Total 3042 Youth Leader</t>
  </si>
  <si>
    <t>hr/wk</t>
  </si>
  <si>
    <t xml:space="preserve">         3044 Nursery Staff</t>
  </si>
  <si>
    <t xml:space="preserve">         3045 Thrift Shop Supervisor</t>
  </si>
  <si>
    <t xml:space="preserve">         3046 Custodian</t>
  </si>
  <si>
    <t xml:space="preserve">         3047 Financial Secretary</t>
  </si>
  <si>
    <t xml:space="preserve">         3048 Thrift Shop Volunteer Coordinator</t>
  </si>
  <si>
    <t xml:space="preserve">         3049 Media Specialist</t>
  </si>
  <si>
    <t>5 to 6</t>
  </si>
  <si>
    <t xml:space="preserve">      Total 3040 Employee Salaries and Wages</t>
  </si>
  <si>
    <t>Includes a $0.60 raise (~4% increase) for all employees &amp; 4% increase for Lenore</t>
  </si>
  <si>
    <t xml:space="preserve">      3050 Contractual Employees</t>
  </si>
  <si>
    <t xml:space="preserve">         3052 Audio/Visual Tech</t>
  </si>
  <si>
    <t>3 hours/week @ $25/hr + 2 extra hours/week for 2 holidays</t>
  </si>
  <si>
    <t xml:space="preserve">         3054 Office Assistant</t>
  </si>
  <si>
    <t xml:space="preserve">         3055 Nursery Staff</t>
  </si>
  <si>
    <t xml:space="preserve">         3056 Thrift Shop Supervisor</t>
  </si>
  <si>
    <t xml:space="preserve">      Total 3050 Contractual Employees</t>
  </si>
  <si>
    <t xml:space="preserve">      3060 Guest Pastor</t>
  </si>
  <si>
    <t>6 events @ $185 each</t>
  </si>
  <si>
    <t xml:space="preserve">         3061 Mileage</t>
  </si>
  <si>
    <t xml:space="preserve">      Total 3060 Guest Pastor</t>
  </si>
  <si>
    <t xml:space="preserve">      3065 Interim Pastor (deleted)</t>
  </si>
  <si>
    <t xml:space="preserve">      3070 Seminarian (deleted)</t>
  </si>
  <si>
    <t xml:space="preserve">         3072 Program Grants (deleted)</t>
  </si>
  <si>
    <t xml:space="preserve">      Total 3070 Seminarian (deleted)</t>
  </si>
  <si>
    <t xml:space="preserve">      3080 Payroll Taxes</t>
  </si>
  <si>
    <t xml:space="preserve">      3090 Background Checks</t>
  </si>
  <si>
    <t>3,JULY</t>
  </si>
  <si>
    <t>new volunteers, new staff, etc.</t>
  </si>
  <si>
    <t xml:space="preserve">      3091 Staff Appreciation</t>
  </si>
  <si>
    <t>3,DEC-FEB</t>
  </si>
  <si>
    <t>7 staff members @ $50 each</t>
  </si>
  <si>
    <t xml:space="preserve">      3092 Staff Continuing Education</t>
  </si>
  <si>
    <t xml:space="preserve">   Total 3001 Staffing</t>
  </si>
  <si>
    <t xml:space="preserve">   5000 Office</t>
  </si>
  <si>
    <t xml:space="preserve">      5005 Scrip Shipping Costs</t>
  </si>
  <si>
    <t>3,EVERY 2 MO</t>
  </si>
  <si>
    <t>$8.75/order; ~1 order every 2 months</t>
  </si>
  <si>
    <t xml:space="preserve">      5007 Square Percentage Fee</t>
  </si>
  <si>
    <t>tied to income 1814; $100 over 14 weeks since Thrift has opened and is accepting credit cards</t>
  </si>
  <si>
    <t xml:space="preserve">      5010 Misc. Office Supplies</t>
  </si>
  <si>
    <t>Envelopes, deposit slips, key tags, power strips, AiH mailers</t>
  </si>
  <si>
    <t xml:space="preserve">      5015 Office Equipment &amp; Furnishings</t>
  </si>
  <si>
    <t xml:space="preserve">         5016 Laptop Computer</t>
  </si>
  <si>
    <t>3, MAY</t>
  </si>
  <si>
    <t>New computer or replacement for one staff member each year (FY22 will be for financial secretary; FY23 will be PSY)</t>
  </si>
  <si>
    <t xml:space="preserve">            5016A Software</t>
  </si>
  <si>
    <t xml:space="preserve">            5016B Hardware</t>
  </si>
  <si>
    <t xml:space="preserve">         Total 5016 Laptop Computer</t>
  </si>
  <si>
    <t xml:space="preserve">        5017 Office Furnishings</t>
  </si>
  <si>
    <t>3,JUNE</t>
  </si>
  <si>
    <t>new desk/table &amp; chairs for office/conf room</t>
  </si>
  <si>
    <t xml:space="preserve">      Total 5015 Office Equipment</t>
  </si>
  <si>
    <t xml:space="preserve">      5020 Thrift Shop Supplies</t>
  </si>
  <si>
    <t>includes $107/mo for two storage pods for 6 months</t>
  </si>
  <si>
    <t xml:space="preserve">      5025 Postal</t>
  </si>
  <si>
    <t xml:space="preserve">         5027 Postage</t>
  </si>
  <si>
    <t xml:space="preserve">         5028 PO Box Fee</t>
  </si>
  <si>
    <t xml:space="preserve">      Total 5025 Postal</t>
  </si>
  <si>
    <t xml:space="preserve">      5030 Printing/Copying Materials</t>
  </si>
  <si>
    <t xml:space="preserve">         5031 Paper</t>
  </si>
  <si>
    <t xml:space="preserve">         5032 Toner &amp; Ink</t>
  </si>
  <si>
    <t xml:space="preserve">      Total 5030 Printing/Copying Materials</t>
  </si>
  <si>
    <t xml:space="preserve">      5035 Printer/Copier</t>
  </si>
  <si>
    <t xml:space="preserve">         5036 Lease</t>
  </si>
  <si>
    <t>New copier contract = 36 months @ $190/month to cover 3000 b/w per quarter  (12k/yr) and 1500 color copies per quarter (6k/yr). FY21 projection based on FY19 actuals of 8682 b/w copies and 12296 color. FY21 budget number includes the contract fee plus 6000 color copy overages @0.054/copy</t>
  </si>
  <si>
    <t xml:space="preserve">         5037 Maintenance</t>
  </si>
  <si>
    <t>New copier contract overages = 0.0121 per b/w copy and 0.054 per color copy</t>
  </si>
  <si>
    <t xml:space="preserve">      Total 5035 Printer/Copier</t>
  </si>
  <si>
    <t xml:space="preserve">      5040 ICON Church Mgmt Online</t>
  </si>
  <si>
    <t>3,APR</t>
  </si>
  <si>
    <t xml:space="preserve">      5045 Software Subscriptions</t>
  </si>
  <si>
    <t xml:space="preserve">         5046 Tithely Mobile App</t>
  </si>
  <si>
    <t>$59/month</t>
  </si>
  <si>
    <t xml:space="preserve">         5047 Quickbooks</t>
  </si>
  <si>
    <t>$80/month</t>
  </si>
  <si>
    <t xml:space="preserve">         5048 Payroll</t>
  </si>
  <si>
    <t>$73/month, but will change with staffing updates.  Calculation is $45 base cost + $4/employee (at 7 employees)</t>
  </si>
  <si>
    <t xml:space="preserve">         5049 ZOOM</t>
  </si>
  <si>
    <t>3,AUG</t>
  </si>
  <si>
    <t>Annual subscription</t>
  </si>
  <si>
    <t xml:space="preserve">         5050 Electronic File Storage</t>
  </si>
  <si>
    <t>Backpack $5/month and Google $20/year</t>
  </si>
  <si>
    <t xml:space="preserve">         5051 Worship Software</t>
  </si>
  <si>
    <t>3,MAR</t>
  </si>
  <si>
    <t>Software upgrade to ProPresenter+: $999 license</t>
  </si>
  <si>
    <t xml:space="preserve">         5055 Newsletter</t>
  </si>
  <si>
    <t>$20/month</t>
  </si>
  <si>
    <t xml:space="preserve">      Total 5045 Software Subscriptions</t>
  </si>
  <si>
    <t xml:space="preserve">      5065 Miscellaneous (deleted)</t>
  </si>
  <si>
    <t xml:space="preserve">      5070 Bank Fees</t>
  </si>
  <si>
    <t>2020- funds that came in after recovery of stolen checks</t>
  </si>
  <si>
    <t xml:space="preserve">      5075 Finance Charges (deleted)</t>
  </si>
  <si>
    <t xml:space="preserve">      5080 Attorney Fees (deleted)</t>
  </si>
  <si>
    <t xml:space="preserve">      5085 Synod Conferences</t>
  </si>
  <si>
    <t>will be virtual @$50/person, allowed to bring 4 ppl</t>
  </si>
  <si>
    <t xml:space="preserve">      5090 Office Water Service</t>
  </si>
  <si>
    <t>2 jugs per week on average (with Yotter use); $7.50/jug. Assumes parsonage water is working, and we're not back in the hall until mid-year.</t>
  </si>
  <si>
    <t xml:space="preserve">   Total 5000 Office</t>
  </si>
  <si>
    <t xml:space="preserve">   5100 Property/Maintenance</t>
  </si>
  <si>
    <t xml:space="preserve">      5101 Property NCC expanded ministry</t>
  </si>
  <si>
    <t xml:space="preserve">      5110 Mortgage Payment</t>
  </si>
  <si>
    <t>$1972 is the monthly mortgage payment. FY21 pull $1794 from Operating budget and use $178/month ($2136/yr) from NCC hold back account. In FY22, we will pay $1868 from Op budget and use $104/month from NCC hold back account. This line item also includes the NC income line item 2065A, which will be paid in a one-time lump sum at the end of NCC in May.</t>
  </si>
  <si>
    <t xml:space="preserve">         5111 Expanded Ministry</t>
  </si>
  <si>
    <t xml:space="preserve">      Total 5110 Mortgage Payment</t>
  </si>
  <si>
    <t xml:space="preserve">      5115 Roof Loan Payment</t>
  </si>
  <si>
    <t>$768/month</t>
  </si>
  <si>
    <t xml:space="preserve">      5115 Worship Space Rent (deleted)</t>
  </si>
  <si>
    <t xml:space="preserve">      5120 Other Facility Rent (deleted)</t>
  </si>
  <si>
    <t xml:space="preserve">         5121 Camp Letts Christmas Eve (deleted)</t>
  </si>
  <si>
    <t xml:space="preserve">         5122 Lenten Program (deleted)</t>
  </si>
  <si>
    <t xml:space="preserve">         5123 Misc Small Events (deleted)</t>
  </si>
  <si>
    <t xml:space="preserve">         5126 Retreat (deleted)</t>
  </si>
  <si>
    <t xml:space="preserve">         5127 VBS (deleted)</t>
  </si>
  <si>
    <t xml:space="preserve">      Total 5120 Other Facility Rent (deleted)</t>
  </si>
  <si>
    <t xml:space="preserve">      5125 Custodial Contractual Worker</t>
  </si>
  <si>
    <t xml:space="preserve">      5130 Custodial Supplies</t>
  </si>
  <si>
    <t>Increase somewhat for expected full year of in person?</t>
  </si>
  <si>
    <t xml:space="preserve">      5135 Repairs &amp; Maintenance</t>
  </si>
  <si>
    <t xml:space="preserve">         5136 Church</t>
  </si>
  <si>
    <t>$15K for parking lot resurface</t>
  </si>
  <si>
    <t xml:space="preserve">         5137 Parsonage</t>
  </si>
  <si>
    <t xml:space="preserve">         5138 Supplies &amp; Materials</t>
  </si>
  <si>
    <t>What is this intended for?</t>
  </si>
  <si>
    <t xml:space="preserve">      Total 5135 Repairs &amp; Maintenance</t>
  </si>
  <si>
    <t xml:space="preserve">      5140 Thrift Shop Maintenance &amp; Upgrades</t>
  </si>
  <si>
    <t>partial allocation of cleaning carpets, etc., electrical work</t>
  </si>
  <si>
    <t xml:space="preserve">      5145 Internet, Phones &amp; TV</t>
  </si>
  <si>
    <t>hall~ $159/month, thrift shop ~108/month; parsonage ~ $104/month on RH budget</t>
  </si>
  <si>
    <t xml:space="preserve">         5145A  Church Internet &amp; Phone</t>
  </si>
  <si>
    <t xml:space="preserve">         5145B  Parsonage Internet &amp; Phone</t>
  </si>
  <si>
    <t xml:space="preserve">      Total 5145 Internet, Phones &amp; TV</t>
  </si>
  <si>
    <t xml:space="preserve">      5150 Electric &amp; Fuel Oil</t>
  </si>
  <si>
    <t xml:space="preserve">         5151 Church Utilities</t>
  </si>
  <si>
    <t>average ~ $703/month electric and $1751 to date fuel oil = $10,187/year. Keep in mind prices are anticipated to rise; how to account for split costs between church and RH</t>
  </si>
  <si>
    <t xml:space="preserve">         5152 Parsonage Utilities</t>
  </si>
  <si>
    <t>$300/month estimate based on increased, full-time occupancy</t>
  </si>
  <si>
    <t xml:space="preserve">         5153 Trailer 1R Utilities</t>
  </si>
  <si>
    <t>RETIRE LINE ITEM</t>
  </si>
  <si>
    <t xml:space="preserve">         5154 Trailer R Utilities</t>
  </si>
  <si>
    <t xml:space="preserve">      Total 5150 Electric &amp; Fuel Oil</t>
  </si>
  <si>
    <t xml:space="preserve">      5155 Water Testing &amp; Sewer</t>
  </si>
  <si>
    <t>Quarterly sewer bills at $213.91 each, and assumes only regular quarterly testing at around $66 each; UV light at $50 and three filters throughout the year for chlorination system @$150 each. Is this different than filters in 5152?</t>
  </si>
  <si>
    <t xml:space="preserve">      5165 Grounds Maintenance</t>
  </si>
  <si>
    <t>sewer costs up:  $266.67./month  Need to find out from Mary if/how often the UV filters need to be replaced, and cost for that.  It was not listed on the initial installation invoice.</t>
  </si>
  <si>
    <t xml:space="preserve">         5166 Grounds Upkeep</t>
  </si>
  <si>
    <t>3,APR-NOV</t>
  </si>
  <si>
    <t>$195/cut; figure April - Oct??  and insect treatment at $139/treatment; Is insect treatment done only for VBS? Separate line item for insect treatment?</t>
  </si>
  <si>
    <t xml:space="preserve">         5167 Snow &amp; Ice Mitigation</t>
  </si>
  <si>
    <t>3,DEC-MAR</t>
  </si>
  <si>
    <t>increased 2/15/21 to reflect recent and predicted snow</t>
  </si>
  <si>
    <t xml:space="preserve">      Total 5165 Grounds Maintenance</t>
  </si>
  <si>
    <t xml:space="preserve">      5170 Insurance/Bonding</t>
  </si>
  <si>
    <t>3</t>
  </si>
  <si>
    <t>currently $1336/quarter Mulitperil and $967/year base cost +$176 audit cost Workers' Comp.  Assume there will be a percentage increase on Multiperil, so maybe increase the whole thing to $6500 or $7000?</t>
  </si>
  <si>
    <t xml:space="preserve">      5175 Fees</t>
  </si>
  <si>
    <t>3,SEPT</t>
  </si>
  <si>
    <t>$1 county stormwater tax fee; property tax fee from copier</t>
  </si>
  <si>
    <t xml:space="preserve">      5185 Waste Removal</t>
  </si>
  <si>
    <t>$167.86/month + $350/year for the 5 recycling cans</t>
  </si>
  <si>
    <t xml:space="preserve">      5190 Security</t>
  </si>
  <si>
    <t>3, JULY</t>
  </si>
  <si>
    <t xml:space="preserve">     5195 Facilities Improvements</t>
  </si>
  <si>
    <t xml:space="preserve">   Total 5100 Property/Maintenance</t>
  </si>
  <si>
    <t xml:space="preserve">   5200 Mission Support</t>
  </si>
  <si>
    <t xml:space="preserve">      5210 Seminarian Support</t>
  </si>
  <si>
    <t>3,FEB,SEPT</t>
  </si>
  <si>
    <t xml:space="preserve">      5215 Synod</t>
  </si>
  <si>
    <t>tied to Congregational Giving</t>
  </si>
  <si>
    <t xml:space="preserve">      5220 International Aid</t>
  </si>
  <si>
    <t xml:space="preserve">      5225 Local/National/International Generosity</t>
  </si>
  <si>
    <t xml:space="preserve">         5226 Serving</t>
  </si>
  <si>
    <t>Per Strategic Plan, need to support local Black community. Percentage of cong giving (rental assistance, dental emergency, public storage, bills)</t>
  </si>
  <si>
    <t xml:space="preserve">         5227 Community Jar</t>
  </si>
  <si>
    <t>Requests for assistance (rent, bills, car, etc.) from Community jar; comes from 1802 Thrift Comm Jar income</t>
  </si>
  <si>
    <t xml:space="preserve">         5228 Member Donation Spending</t>
  </si>
  <si>
    <t>Local donations, disaster relief, corresponds to line item 1809</t>
  </si>
  <si>
    <t xml:space="preserve">      Total 5225 Local/National</t>
  </si>
  <si>
    <t xml:space="preserve">      5230 ACT/IAF</t>
  </si>
  <si>
    <t>1% of cong giving, rounded for a flat donation</t>
  </si>
  <si>
    <t xml:space="preserve">   Total 5200 Mission Support</t>
  </si>
  <si>
    <t xml:space="preserve">   5300 Worship</t>
  </si>
  <si>
    <t xml:space="preserve">      5310 Altar &amp; Worship Supplies</t>
  </si>
  <si>
    <t>3,JULY-JAN</t>
  </si>
  <si>
    <t>planning for half-year in building</t>
  </si>
  <si>
    <t xml:space="preserve">      5314 Flowers</t>
  </si>
  <si>
    <t>3,JAN</t>
  </si>
  <si>
    <t>corrresponds to income 1813, plus $100 for additional expenses</t>
  </si>
  <si>
    <t xml:space="preserve">      5318 Candles</t>
  </si>
  <si>
    <t>150 "silent night" candles and holders need to be replaced; plus worship space candles. I know we ordered candles for this year, but they went to homes and we can't expect they be returned</t>
  </si>
  <si>
    <t xml:space="preserve">      5319 Undesignated</t>
  </si>
  <si>
    <t xml:space="preserve">      5320 Bread of Life Painting Share</t>
  </si>
  <si>
    <t xml:space="preserve">   Total 5300 Worship</t>
  </si>
  <si>
    <t xml:space="preserve">   5400 Music</t>
  </si>
  <si>
    <t xml:space="preserve">      5410 Praise Service Needs</t>
  </si>
  <si>
    <t>Lent boxes in virtual worship; doing in FY22?</t>
  </si>
  <si>
    <t xml:space="preserve">      5415 Praise Service Equipment Payoff (deleted)</t>
  </si>
  <si>
    <t xml:space="preserve">      5435 License Fees</t>
  </si>
  <si>
    <t xml:space="preserve">         5436 CCLI</t>
  </si>
  <si>
    <t>CCLI License breakdown: copyright-243, rehearsal-154, SongSelect-162</t>
  </si>
  <si>
    <t xml:space="preserve">         5437 Video License</t>
  </si>
  <si>
    <t xml:space="preserve">         5438 Content Streaming License</t>
  </si>
  <si>
    <t>Any increase for enchanced hybrid service?</t>
  </si>
  <si>
    <t xml:space="preserve">      Total 5435 License Fees</t>
  </si>
  <si>
    <t xml:space="preserve">      5440 Worship Technology</t>
  </si>
  <si>
    <t xml:space="preserve">         5441 Worship Conference</t>
  </si>
  <si>
    <t>would be FY21 profit so we are putting into Worship Tech</t>
  </si>
  <si>
    <t xml:space="preserve">         5442 Sound</t>
  </si>
  <si>
    <t>3,SUMMER</t>
  </si>
  <si>
    <t>would be FY22 profit so we are putting into Worship Tech</t>
  </si>
  <si>
    <t xml:space="preserve">         5443 Video</t>
  </si>
  <si>
    <t xml:space="preserve">         5444 Lights</t>
  </si>
  <si>
    <t xml:space="preserve">         5445 Equipment Replacement Fund</t>
  </si>
  <si>
    <t xml:space="preserve">      Total 5440 Worship Technology</t>
  </si>
  <si>
    <t xml:space="preserve">      5450 Music Leader Training</t>
  </si>
  <si>
    <t xml:space="preserve">   Total 5400 Music</t>
  </si>
  <si>
    <t xml:space="preserve">   5500 Outreach</t>
  </si>
  <si>
    <t xml:space="preserve">      5510 Direct Mail</t>
  </si>
  <si>
    <t xml:space="preserve">      5515 Advertising</t>
  </si>
  <si>
    <t>2,3</t>
  </si>
  <si>
    <t>quarterly FB post boost @$50/each,  additional special events FB boost @$50/each</t>
  </si>
  <si>
    <t xml:space="preserve">      5520 Events</t>
  </si>
  <si>
    <t xml:space="preserve">         5521 Joy Thrift</t>
  </si>
  <si>
    <t xml:space="preserve">         5522 Christmas by Candlelight</t>
  </si>
  <si>
    <t>3,DEC,JAN</t>
  </si>
  <si>
    <t xml:space="preserve">         5523 Easter Egg Hunt</t>
  </si>
  <si>
    <t>3,APR,MAY</t>
  </si>
  <si>
    <t xml:space="preserve">         5524 Summer Event</t>
  </si>
  <si>
    <t>3,JUNE-AUG</t>
  </si>
  <si>
    <t>Food Trucks through Summer events - $500/truck x 3 times</t>
  </si>
  <si>
    <t xml:space="preserve">         5525  Christmas Eve</t>
  </si>
  <si>
    <t xml:space="preserve">      Total 5520 Events</t>
  </si>
  <si>
    <t xml:space="preserve">      5526 Printing</t>
  </si>
  <si>
    <t xml:space="preserve">      5530 Web Hosting &amp; Development</t>
  </si>
  <si>
    <t>3,NOV</t>
  </si>
  <si>
    <t>$229/yr for SquareSpace (new web co)</t>
  </si>
  <si>
    <t xml:space="preserve">      5535 Seasonal Signage</t>
  </si>
  <si>
    <t>Christmas, Thrift shop donations, (not planning for VBS); yard sign project</t>
  </si>
  <si>
    <t xml:space="preserve">         5536 Signage Supplies &amp; Materials (deleted)</t>
  </si>
  <si>
    <t xml:space="preserve">      Total 5535 Seasonal Signage</t>
  </si>
  <si>
    <t xml:space="preserve">      5540 Visitor Packets</t>
  </si>
  <si>
    <t>We currenty have 17 Starbucks $5 cards available; can order more during holidaty stocking stuffer sale to have on hand if needed</t>
  </si>
  <si>
    <t xml:space="preserve">      5545 Tithely Mobile App Platform (deleted)</t>
  </si>
  <si>
    <t xml:space="preserve">      5550 LEAD Implementation</t>
  </si>
  <si>
    <t xml:space="preserve">         5555 Advocacy for Addiction &amp; Mental Health (deleted)</t>
  </si>
  <si>
    <t xml:space="preserve">         5556 Art Show, redesignated Recovery Rental Assistance</t>
  </si>
  <si>
    <t xml:space="preserve">         5559 Baby Pantry (deleted)</t>
  </si>
  <si>
    <t xml:space="preserve">      Total 5550 LEAD Implementation</t>
  </si>
  <si>
    <t xml:space="preserve">      5560 LEAD NCC expanded ministry</t>
  </si>
  <si>
    <t xml:space="preserve">   Total 5500 Outreach</t>
  </si>
  <si>
    <t xml:space="preserve">   5600 Education-Growth</t>
  </si>
  <si>
    <t xml:space="preserve">      5605 Household Huddle Sunday School (deleted)</t>
  </si>
  <si>
    <t xml:space="preserve">      5610 Adult</t>
  </si>
  <si>
    <t xml:space="preserve">         5611 Class Books/Bibles</t>
  </si>
  <si>
    <t xml:space="preserve">         5613 Misc Supplies</t>
  </si>
  <si>
    <t xml:space="preserve">         5614 A.M. Leader Training</t>
  </si>
  <si>
    <t xml:space="preserve">         5615 LEAD</t>
  </si>
  <si>
    <t xml:space="preserve">      Total 5610 Adult</t>
  </si>
  <si>
    <t xml:space="preserve">      5620 Senior High Youth</t>
  </si>
  <si>
    <t xml:space="preserve">         5622 Special Project</t>
  </si>
  <si>
    <t xml:space="preserve">         5623 School Year Events</t>
  </si>
  <si>
    <t xml:space="preserve">         5624 Summer Events</t>
  </si>
  <si>
    <t>National youth gathering moved to 2022. These fees cover adult participants and scholarship. Get PSY input on expectation/participation for 2022.</t>
  </si>
  <si>
    <t xml:space="preserve">         5625 New Programs</t>
  </si>
  <si>
    <t>~$966pp in 2018</t>
  </si>
  <si>
    <t xml:space="preserve">         5626 Sunday School</t>
  </si>
  <si>
    <t>3,AUG, DEC</t>
  </si>
  <si>
    <t>Donuts w/ danielle, Zoom events, etc.</t>
  </si>
  <si>
    <t xml:space="preserve">         5627 Materials &amp; Supplies</t>
  </si>
  <si>
    <t>planning on doing a monthly event with the youth, will need snacks and supplies</t>
  </si>
  <si>
    <t xml:space="preserve">         5627 Misc Supplies (deleted)</t>
  </si>
  <si>
    <t xml:space="preserve">         5628 SHYM Leader Training</t>
  </si>
  <si>
    <t>virtual youth director training from the ELCA</t>
  </si>
  <si>
    <t xml:space="preserve">      Total 5620 Senior High Youth</t>
  </si>
  <si>
    <t xml:space="preserve">      5630 Middle School Youth</t>
  </si>
  <si>
    <t xml:space="preserve">         5631 Retreat</t>
  </si>
  <si>
    <t xml:space="preserve">         5632 Confirmation Sunday</t>
  </si>
  <si>
    <t>3, NOV</t>
  </si>
  <si>
    <t>$25 for the confirmation cake, $50 for McFaden Glass for 2 kids, and other</t>
  </si>
  <si>
    <t xml:space="preserve">         5633 Confirmation Materials</t>
  </si>
  <si>
    <t>3,SEPT-MAY</t>
  </si>
  <si>
    <t>2 bibles for upcoming confirmation students; snacks at $2 a kid per week for 20 weeks</t>
  </si>
  <si>
    <t xml:space="preserve">         5635 Events</t>
  </si>
  <si>
    <t>$165  for a bowling confirmation night</t>
  </si>
  <si>
    <t xml:space="preserve">         5636 Materials &amp; Supplies</t>
  </si>
  <si>
    <t xml:space="preserve">         5636 Misc Supplies (deleted)</t>
  </si>
  <si>
    <t xml:space="preserve">      Total 5630 Middle School Youth</t>
  </si>
  <si>
    <t xml:space="preserve">      5640 Children's</t>
  </si>
  <si>
    <t xml:space="preserve">         5641 Nursery Supplies</t>
  </si>
  <si>
    <t xml:space="preserve">         5642 Curricula</t>
  </si>
  <si>
    <t>Zoom events like graham cracker nativity, bird feeder, etc.</t>
  </si>
  <si>
    <t xml:space="preserve">         5643 Supplies (deleted)</t>
  </si>
  <si>
    <t xml:space="preserve">         5644 VBS Curriculum/Supplies</t>
  </si>
  <si>
    <t>3,MAR,JUNE-SEPT</t>
  </si>
  <si>
    <t>tied directly to income line item</t>
  </si>
  <si>
    <t xml:space="preserve">         5645 VBS Food &amp; Luncheon Supplies</t>
  </si>
  <si>
    <t xml:space="preserve">         5646 Misc Supplies</t>
  </si>
  <si>
    <t xml:space="preserve">         5648 VBS Graphics</t>
  </si>
  <si>
    <t xml:space="preserve">         5649 VBS Staff Shirts</t>
  </si>
  <si>
    <t xml:space="preserve">      Total 5640 Children's</t>
  </si>
  <si>
    <t xml:space="preserve">      5650 Bibles for Distribution</t>
  </si>
  <si>
    <t>Sparks Bibles</t>
  </si>
  <si>
    <t xml:space="preserve">   Total 5600 Education-Growth</t>
  </si>
  <si>
    <t xml:space="preserve">   5700 Fellowship</t>
  </si>
  <si>
    <t xml:space="preserve">      5710 Sunday Supplies</t>
  </si>
  <si>
    <t>3,AUG,NOV</t>
  </si>
  <si>
    <t xml:space="preserve">      5720 Sunday Coffee Supplies</t>
  </si>
  <si>
    <t xml:space="preserve">      5730 Special Events</t>
  </si>
  <si>
    <t>1 event @ $150 each quarter. (Christmas by Candlelight in its own line item 5522).</t>
  </si>
  <si>
    <t xml:space="preserve">      5740 Sam's Club Membership</t>
  </si>
  <si>
    <t xml:space="preserve">   Total 5700 Fellowship</t>
  </si>
  <si>
    <t xml:space="preserve">   5800 Generosity Program</t>
  </si>
  <si>
    <t xml:space="preserve">      5810 Stewardship Drive Consultant Fee</t>
  </si>
  <si>
    <t>3,FEB-AUG</t>
  </si>
  <si>
    <t>Revised to delay fee with AiH delay (Budget of $19,500; +$4000 fee for delay)</t>
  </si>
  <si>
    <t xml:space="preserve">      5820 Presentation Materials</t>
  </si>
  <si>
    <t>3, JUNE</t>
  </si>
  <si>
    <t>These are fees associated with the annual Generosity program, not the capital campaign</t>
  </si>
  <si>
    <t xml:space="preserve">      5830 Presenter Training Sessions (deleted)</t>
  </si>
  <si>
    <t xml:space="preserve">      5850 Pledge Material Production</t>
  </si>
  <si>
    <t xml:space="preserve">      5860 Postage &amp; Delivery</t>
  </si>
  <si>
    <t xml:space="preserve">      5870 Stewardship Drive Celebration</t>
  </si>
  <si>
    <t xml:space="preserve">   Total 5800 Generosity Program</t>
  </si>
  <si>
    <t xml:space="preserve">   5900 Service</t>
  </si>
  <si>
    <t xml:space="preserve">      5910 GWOH</t>
  </si>
  <si>
    <t>3,OCT</t>
  </si>
  <si>
    <t xml:space="preserve">      5915 Mission Trips</t>
  </si>
  <si>
    <t>3,JUL</t>
  </si>
  <si>
    <t xml:space="preserve">      5920 Recovery Rental Assistance</t>
  </si>
  <si>
    <t>FY20 budget was $650/mo = $7500</t>
  </si>
  <si>
    <t xml:space="preserve">      5925 Community Group Meeting Support</t>
  </si>
  <si>
    <t xml:space="preserve">      5930 Baby Pantry</t>
  </si>
  <si>
    <t>$1.50/pack of wipes, 100 packs per month</t>
  </si>
  <si>
    <t xml:space="preserve">      5940 Food Ministry</t>
  </si>
  <si>
    <t xml:space="preserve">   Total 5900 Service</t>
  </si>
  <si>
    <t>Total Expenses</t>
  </si>
  <si>
    <t>Net Operating Income</t>
  </si>
  <si>
    <t>ACTUALS FY19</t>
  </si>
  <si>
    <r>
      <rPr>
        <b/>
        <sz val="12"/>
        <color theme="1"/>
        <rFont val="Calibri"/>
      </rPr>
      <t xml:space="preserve">BUDGET FY20 </t>
    </r>
    <r>
      <rPr>
        <b/>
        <sz val="10"/>
        <color theme="1"/>
        <rFont val="Calibri"/>
      </rPr>
      <t>(AFTER REALLOCATION)</t>
    </r>
  </si>
  <si>
    <r>
      <rPr>
        <b/>
        <sz val="12"/>
        <color theme="1"/>
        <rFont val="Calibri"/>
      </rPr>
      <t xml:space="preserve">BUDGET FY20 </t>
    </r>
    <r>
      <rPr>
        <b/>
        <sz val="10"/>
        <color theme="1"/>
        <rFont val="Calibri"/>
      </rPr>
      <t>(AFTER REALLOCATION)</t>
    </r>
  </si>
  <si>
    <t>12/20 YTD</t>
  </si>
  <si>
    <t>PROJ. ACTUALS FY20</t>
  </si>
  <si>
    <t>Feb 1 - Dec 31, 2020</t>
  </si>
  <si>
    <t>2020 Net Profit</t>
  </si>
  <si>
    <t>8 months @ 8% increase over FY20 projected 12-month</t>
  </si>
  <si>
    <t xml:space="preserve">$900/weekend which is a conservative estimate </t>
  </si>
  <si>
    <t>Will go towards paying down principal on current MIF refinanced loan</t>
  </si>
  <si>
    <t>Mortgage payment (1972), roof loan payment (768.38) from June-Jan</t>
  </si>
  <si>
    <t>FY21 Budget accounts for 2 months of parsonage-included compensation &amp; 10 months of new comp package</t>
  </si>
  <si>
    <t>New Annual Salary:</t>
  </si>
  <si>
    <t>10 mo pro-rated:</t>
  </si>
  <si>
    <t xml:space="preserve">         3018 Other Pension Benefits</t>
  </si>
  <si>
    <t xml:space="preserve">         3043 Office Assistant</t>
  </si>
  <si>
    <t>6 events @ $160 each</t>
  </si>
  <si>
    <t>9 staff members @ $50 each</t>
  </si>
  <si>
    <t>Envelopes, deposit slips, key tags, power strips</t>
  </si>
  <si>
    <t>New computer or replacement for one staff member each year (FY21 will be for financial secretary; FY22 will be office assistant, FY23 will be PSY)</t>
  </si>
  <si>
    <t>laptop and office furniture</t>
  </si>
  <si>
    <t>includes $97/mo for two storage pods for 6 months</t>
  </si>
  <si>
    <t>There will be an annual charge here in Jan.  Last year we paid $118</t>
  </si>
  <si>
    <t xml:space="preserve">         5032 Toner</t>
  </si>
  <si>
    <t>9 employees, 2 states filing</t>
  </si>
  <si>
    <t>Backpack will end 1/31/2021; move to Google Drive ($1.99/MO)</t>
  </si>
  <si>
    <t>Software upgrade to ProPresenter+</t>
  </si>
  <si>
    <t>includes upgraded worship software</t>
  </si>
  <si>
    <t>funds that came in after recovery of stolen checks</t>
  </si>
  <si>
    <t>2 jugs per week on average (with Yotter use); $7.50/jug. reduce to $390, and remove for now. Add back in for second half of fiscal year. Assumes parsonage water is working, and we're not back in the hall until mid-year.</t>
  </si>
  <si>
    <t>$1663.56 monthly mortgage payment plus addt'l $308.44 from NCC hold back; plus NC income line item 2065A</t>
  </si>
  <si>
    <t>since it's now in the chapel, there are more "delicate"  finishes</t>
  </si>
  <si>
    <t>$152/mo for phone line &amp; internet in worship space; $108/mo for chapel internet</t>
  </si>
  <si>
    <t>UV light at $50 I think and three filters throughout the year for chlorination system @$150 each.</t>
  </si>
  <si>
    <t>Quarterly sewer bills at $213.91 each, and assumes only regular quarterly testing at around $66 each</t>
  </si>
  <si>
    <t>increase landscaping cost to maintain flower beds</t>
  </si>
  <si>
    <t>FY20 - $1426/quarter for policy; $812/yr for workcomp + $220 for audit fee; will be less after removal of trailers from coverage</t>
  </si>
  <si>
    <t>This has gone up to $156.88/month with the larger dumpster</t>
  </si>
  <si>
    <t xml:space="preserve">      5225 Local/National/International Generostiy</t>
  </si>
  <si>
    <t>2% of cong giving</t>
  </si>
  <si>
    <t>corrresponds to income 1813</t>
  </si>
  <si>
    <t>Lent boxes in virtual worship</t>
  </si>
  <si>
    <t>CCLI License breakdown: copyright-235, rehearsal-149, SongSelect-157</t>
  </si>
  <si>
    <t>Summer, easter, christmas events</t>
  </si>
  <si>
    <t xml:space="preserve">      5525 Printing</t>
  </si>
  <si>
    <t>$216/yr for SquareSpace (new web co)</t>
  </si>
  <si>
    <t>We already have 45 Starbucks $5 cards ready to go</t>
  </si>
  <si>
    <t>National youth gathering moved to 2022- no money needed for this this year. These fees cover adult participants and scholarship</t>
  </si>
  <si>
    <t>IF donuts w/ danielle restarts this summer, I'll need coverage and i'll treat the kids 2x a year</t>
  </si>
  <si>
    <t>Hoping to put together at least 1 virtual event for Q1, Q2 and Q3 and CBC in December.  Requesting $125 each virtual quarter and the full $600 for December.  Several emails out to gather potential cost (but would like to have $ available to individuals that need assistance to participate).</t>
  </si>
  <si>
    <t>2 leader registration fees</t>
  </si>
  <si>
    <t>10/20 YTD</t>
  </si>
  <si>
    <t>BUDGET FY21 Projection</t>
  </si>
  <si>
    <t>Feb 1 - Oct 29, 2020</t>
  </si>
  <si>
    <t>Feb 2020 -      Jan 2021</t>
  </si>
  <si>
    <t xml:space="preserve">   1150 Synod Grants</t>
  </si>
  <si>
    <t xml:space="preserve">      1151 Discipleship (Recovery) Grant</t>
  </si>
  <si>
    <t xml:space="preserve">      1152 Connectedness (Council Retreat) Grant</t>
  </si>
  <si>
    <t xml:space="preserve">      1153 COVID-19 (Baby Pantry/Food Min) Grant</t>
  </si>
  <si>
    <t xml:space="preserve">      1154 Deaconess Community (Rec Rent) Grant</t>
  </si>
  <si>
    <t xml:space="preserve">   Total 1150 Synod Grants</t>
  </si>
  <si>
    <t xml:space="preserve">   1300 Mission Partner General (deleted)</t>
  </si>
  <si>
    <t xml:space="preserve">   1500 Capital Campaign Fund</t>
  </si>
  <si>
    <t xml:space="preserve">   1600 Pastor's Discretionary Fund</t>
  </si>
  <si>
    <t xml:space="preserve">      1720 Fundraising (deleted)</t>
  </si>
  <si>
    <t xml:space="preserve">      1725 Yotter Health Insurance (deleted)</t>
  </si>
  <si>
    <t xml:space="preserve">      1730 Op. Reg, Transfer from Savings</t>
  </si>
  <si>
    <t xml:space="preserve">      1755 Scrip</t>
  </si>
  <si>
    <t xml:space="preserve">   1820 Burnside Scholarship Fund</t>
  </si>
  <si>
    <t xml:space="preserve">      1905 Miscellaneous Rent</t>
  </si>
  <si>
    <t xml:space="preserve">   2000 In/Out Categories Income</t>
  </si>
  <si>
    <t xml:space="preserve">      2010 Congregational Events</t>
  </si>
  <si>
    <t xml:space="preserve">      2020 Meals</t>
  </si>
  <si>
    <t xml:space="preserve">      2030 Local Serving</t>
  </si>
  <si>
    <t xml:space="preserve">      2040 International Serving</t>
  </si>
  <si>
    <t xml:space="preserve">      2050 Designated Special Gifts</t>
  </si>
  <si>
    <t xml:space="preserve">      2060 Special Needs</t>
  </si>
  <si>
    <t xml:space="preserve">         2065 Next Chapter Donations</t>
  </si>
  <si>
    <t xml:space="preserve">      Total 2060 Special Needs</t>
  </si>
  <si>
    <t xml:space="preserve">      2070 Youth Events</t>
  </si>
  <si>
    <t xml:space="preserve">   Total 2000 In/Out Categories Income</t>
  </si>
  <si>
    <t xml:space="preserve">         3025 Moving Expenses (deleted)</t>
  </si>
  <si>
    <t xml:space="preserve">         3051 PB Music Leader (deleted)</t>
  </si>
  <si>
    <t xml:space="preserve">         3052 Music Leader Extra Duties (deleted)</t>
  </si>
  <si>
    <t xml:space="preserve">         3053 Youth Leader or Additional Staffing (deleted)</t>
  </si>
  <si>
    <t xml:space="preserve">         3057 Youth Leader Gas &amp; Entrance Fees (deleted)</t>
  </si>
  <si>
    <t xml:space="preserve">         3058 Traditional Music Leader (deleted)</t>
  </si>
  <si>
    <t xml:space="preserve">         3059 Financial Secretary (deleted)</t>
  </si>
  <si>
    <t xml:space="preserve">      3095 Sabbatical Funds</t>
  </si>
  <si>
    <t xml:space="preserve">         3096 Interim Pastor Salary</t>
  </si>
  <si>
    <t xml:space="preserve">            3096A Interim Pastor SS/Medicare Allowance</t>
  </si>
  <si>
    <t xml:space="preserve">            3096B Interim Pastor Housing Allowance</t>
  </si>
  <si>
    <t xml:space="preserve">         Total 3096 Interim Pastor Salary</t>
  </si>
  <si>
    <t xml:space="preserve">      Total 3095 Sabbatical Funds</t>
  </si>
  <si>
    <t xml:space="preserve">   4000 MIF Savings Reg, Transfer to/from Op. Acct</t>
  </si>
  <si>
    <t xml:space="preserve">      4001 NC expenses paid from MIF savings</t>
  </si>
  <si>
    <t xml:space="preserve">   Total 4000 MIF Savings Reg, Transfer to/from Op. Acct</t>
  </si>
  <si>
    <t xml:space="preserve">      5006 Scrip Orders</t>
  </si>
  <si>
    <t xml:space="preserve">      5015 Office Equipment</t>
  </si>
  <si>
    <t xml:space="preserve">         5026 Postage Permit Fee (deleted)</t>
  </si>
  <si>
    <t xml:space="preserve">         5050 Backpack Subscription</t>
  </si>
  <si>
    <t xml:space="preserve">         5051 Stage Ten</t>
  </si>
  <si>
    <t xml:space="preserve">         5055 Newsletter (Constant Contact) Subscription</t>
  </si>
  <si>
    <t xml:space="preserve">      5180 Facility Upgrades</t>
  </si>
  <si>
    <t xml:space="preserve">         5181 Supplies &amp; Materials</t>
  </si>
  <si>
    <t xml:space="preserve">         5182 Labor</t>
  </si>
  <si>
    <t xml:space="preserve">      Total 5180 Facility Upgrades</t>
  </si>
  <si>
    <t xml:space="preserve">      5225 Local/National</t>
  </si>
  <si>
    <t xml:space="preserve">      5420 Misc Equip Items (deleted)</t>
  </si>
  <si>
    <t xml:space="preserve">      5425 Chapel Service Needs (deleted)</t>
  </si>
  <si>
    <t xml:space="preserve">      5430 Special Events (deleted)</t>
  </si>
  <si>
    <t xml:space="preserve">         5537 Signage Labor (deleted)</t>
  </si>
  <si>
    <t xml:space="preserve">      5601 Pass Through to/from Youth Account (deleted)</t>
  </si>
  <si>
    <t xml:space="preserve">         5621 Retreat (deleted)</t>
  </si>
  <si>
    <t xml:space="preserve">         5634 Sunday School (deleted)</t>
  </si>
  <si>
    <t xml:space="preserve">      5660 Fundraising Expenses (deleted)</t>
  </si>
  <si>
    <t xml:space="preserve">      5840 Presenter Expenses (deleted)</t>
  </si>
  <si>
    <t xml:space="preserve">   6000 In/Out Categories Expenses</t>
  </si>
  <si>
    <t xml:space="preserve">      6010 Congregational Events</t>
  </si>
  <si>
    <t xml:space="preserve">      6020 Meals</t>
  </si>
  <si>
    <t xml:space="preserve">      6030 Local Serving</t>
  </si>
  <si>
    <t xml:space="preserve">      6040 International Serving</t>
  </si>
  <si>
    <t xml:space="preserve">      6050 Designated Special Gifts</t>
  </si>
  <si>
    <t xml:space="preserve">      6060 Special Needs</t>
  </si>
  <si>
    <t xml:space="preserve">         6061 Next Chapter Transfers to MIF</t>
  </si>
  <si>
    <t xml:space="preserve">         6062 Extra Funds Spending</t>
  </si>
  <si>
    <t xml:space="preserve">      Total 6060 Special Needs</t>
  </si>
  <si>
    <t xml:space="preserve">      6070 Youth Events</t>
  </si>
  <si>
    <t xml:space="preserve">   Total 6000 In/Out Categories Expenses</t>
  </si>
  <si>
    <t xml:space="preserve">   6200 Property Purchase</t>
  </si>
  <si>
    <t xml:space="preserve">      6210 Property Acquisition Expenses</t>
  </si>
  <si>
    <t xml:space="preserve">      6220 Presentation Materials</t>
  </si>
  <si>
    <t xml:space="preserve">      6230 Postage &amp; Delivery</t>
  </si>
  <si>
    <t xml:space="preserve">      6240 Campaign Celebration</t>
  </si>
  <si>
    <t xml:space="preserve">   Total 6200 Property Purchase</t>
  </si>
  <si>
    <t>INCOME LINES</t>
  </si>
  <si>
    <t>reduce to $500. I believe it was a 2019 anomaly because we had large HVAC purchase on cc that made previous year's number so high.</t>
  </si>
  <si>
    <t>reduce to $52,000. Michelle wants to be more cautious in case we're trying to make up funds for snow and/or covid closings.</t>
  </si>
  <si>
    <t>reduce to $1500. This comes mainly from Scrip purchases, and I don't foresee a huge bounce back. I've been practically the only one buying cards since March.</t>
  </si>
  <si>
    <t>increase to $800. The Square will hopefully be getting a full year's use at the Thrift Shop, and it's been averaging about $15/week in fees</t>
  </si>
  <si>
    <t>EXPENSE LINES</t>
  </si>
  <si>
    <t>calculation should be I77*M77 (budgeted pay times cola, not projected pay times cola)</t>
  </si>
  <si>
    <t>reduce to 5 or 6 hours/week. She's averaging 5.12</t>
  </si>
  <si>
    <t>reduce to 3 hours/week. Can't see us needing nursery until mid-year, and she's only doing 1.25/week now using this position for monitoring Sunday service</t>
  </si>
  <si>
    <t>reduce to 13 hours/week. That's about what I've been averaging.</t>
  </si>
  <si>
    <t>Your comment about no one making $16/hour reminded me; Brittany was hired in May at $16/hour, so her Prev Wage needs to be changed. I would leave her at 5 hours.</t>
  </si>
  <si>
    <t>Also, if I'm remembering correctly, standard practice has been that one doesn't receive a Cola until they've been employed more than a year. So, that should apply for Brittany and Tina (both positions)?? No Cola yet?</t>
  </si>
  <si>
    <t>reduce by half for now; reserve other half to add in later if possible</t>
  </si>
  <si>
    <t>remove for now; add in later if possible</t>
  </si>
  <si>
    <t>reduce to $390, and remove for now. Add back in for second half of fiscal year. Assumes parsonage water is working, and we're not back in the hall until mid-year.</t>
  </si>
  <si>
    <t>reduce to $600.</t>
  </si>
  <si>
    <t>reduce to $1100. Quarterly sewer bills at $213.91 each, and assumes only regular quarterly testing at around $66 each</t>
  </si>
  <si>
    <t>reduce to $6000. Multiperil policy will be less after removal of trailers from coverage.</t>
  </si>
  <si>
    <t>remove for now if Melody will be online and won't be buying books? Didn't see any reimbursements requested for this fall's semester.</t>
  </si>
  <si>
    <t>make a nominal amount for now; add back in for second half of the year if we're back in hall</t>
  </si>
  <si>
    <t>reduce to $350 and remove for now. Add back in for last quarter if we're back in the hall for Christmas.</t>
  </si>
  <si>
    <t>reduce to $75. Tina's already ordered 250 'Candlelight Service Candles', which is going in this fiscal year. Assumes that's what you're referencing in your comment on the line.</t>
  </si>
  <si>
    <t>reduce to $300.</t>
  </si>
  <si>
    <t>reduce to $200. Assumes no Easter or VBS in-person possible next year, therefore no signage needed for those two events.</t>
  </si>
  <si>
    <t>reduce to $0. I already have 46 Starbucks $5 cards ready to go</t>
  </si>
  <si>
    <t>not sure what the $500 is for on this line. I used it this year for the cost of Faith 5 rewards that I assumed were for anyone and didn't fit in just Adult, HSY, MSY or Children's subcategory</t>
  </si>
  <si>
    <t>reduce to $125 for first quarter; readdress each quarter and add more in if possible</t>
  </si>
  <si>
    <t>if we're really going to end up with a 2020 budget surplus of around $30K, as line H318 seems to indicate; can we use that money to pay this? Or am I interpreting things incorrectly?</t>
  </si>
  <si>
    <t>remove for now; add in later if possible for third quarter</t>
  </si>
  <si>
    <t>remove for now; add in later if in-person meetings resume</t>
  </si>
  <si>
    <t>Roof loan</t>
  </si>
  <si>
    <t>Prior year surplus</t>
  </si>
  <si>
    <t>$0.60 raise for all employees</t>
  </si>
  <si>
    <t xml:space="preserve">         3043 Office Assistant/Operations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</si>
</sst>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#,##0.00\ _€"/>
    <numFmt numFmtId="166" formatCode="#,##0\ _€"/>
  </numFmts>
  <fonts count="18" x14ac:knownFonts="1">
    <font>
      <sz val="11"/>
      <color rgb="FF000000"/>
      <name val="Arial"/>
    </font>
    <font>
      <sz val="12"/>
      <color theme="1"/>
      <name val="Calibri"/>
    </font>
    <font>
      <b/>
      <sz val="12"/>
      <color theme="1"/>
      <name val="Calibri"/>
    </font>
    <font>
      <sz val="12"/>
      <color rgb="FF000000"/>
      <name val="Calibri"/>
    </font>
    <font>
      <b/>
      <sz val="12"/>
      <color rgb="FF000000"/>
      <name val="Calibri"/>
    </font>
    <font>
      <i/>
      <sz val="12"/>
      <color theme="1"/>
      <name val="Calibri"/>
    </font>
    <font>
      <i/>
      <sz val="12"/>
      <color rgb="FF000000"/>
      <name val="Calibri"/>
    </font>
    <font>
      <b/>
      <sz val="12"/>
      <color rgb="FFFF0000"/>
      <name val="Calibri"/>
    </font>
    <font>
      <b/>
      <sz val="12"/>
      <color rgb="FF0000FF"/>
      <name val="Calibri"/>
    </font>
    <font>
      <b/>
      <i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i/>
      <sz val="12"/>
      <color rgb="FF0000FF"/>
      <name val="Calibri"/>
    </font>
    <font>
      <sz val="11"/>
      <color rgb="FF000000"/>
      <name val="Calibri"/>
    </font>
    <font>
      <b/>
      <sz val="10"/>
      <color theme="1"/>
      <name val="Calibri"/>
    </font>
    <font>
      <sz val="1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  <fill>
      <patternFill patternType="solid">
        <fgColor rgb="FF00FF00"/>
        <bgColor rgb="FF00FF00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FF00FF"/>
        <bgColor rgb="FFFF00FF"/>
      </patternFill>
    </fill>
    <fill>
      <patternFill patternType="solid">
        <fgColor theme="0"/>
        <bgColor theme="0"/>
      </patternFill>
    </fill>
    <fill>
      <patternFill patternType="solid">
        <fgColor rgb="FFB4A7D6"/>
        <bgColor rgb="FFB4A7D6"/>
      </patternFill>
    </fill>
    <fill>
      <patternFill patternType="solid">
        <fgColor rgb="FFD9D9D9"/>
        <bgColor rgb="FFD9D9D9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indexed="64"/>
      </top>
      <bottom/>
      <diagonal/>
    </border>
    <border>
      <left style="thick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</borders>
  <cellStyleXfs count="1">
    <xf numFmtId="0" fontId="0" fillId="0" borderId="0"/>
  </cellStyleXfs>
  <cellXfs count="39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164" fontId="2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4" fillId="0" borderId="5" xfId="0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4" fontId="4" fillId="2" borderId="3" xfId="0" applyNumberFormat="1" applyFont="1" applyFill="1" applyBorder="1" applyAlignment="1">
      <alignment horizontal="center" wrapText="1"/>
    </xf>
    <xf numFmtId="4" fontId="4" fillId="2" borderId="4" xfId="0" applyNumberFormat="1" applyFont="1" applyFill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3" fontId="3" fillId="0" borderId="0" xfId="0" applyNumberFormat="1" applyFont="1" applyAlignment="1">
      <alignment wrapText="1"/>
    </xf>
    <xf numFmtId="3" fontId="1" fillId="0" borderId="0" xfId="0" applyNumberFormat="1" applyFont="1"/>
    <xf numFmtId="49" fontId="2" fillId="0" borderId="0" xfId="0" applyNumberFormat="1" applyFont="1" applyAlignment="1">
      <alignment horizontal="center"/>
    </xf>
    <xf numFmtId="3" fontId="1" fillId="0" borderId="4" xfId="0" applyNumberFormat="1" applyFont="1" applyBorder="1"/>
    <xf numFmtId="4" fontId="1" fillId="0" borderId="0" xfId="0" applyNumberFormat="1" applyFont="1"/>
    <xf numFmtId="4" fontId="1" fillId="0" borderId="4" xfId="0" applyNumberFormat="1" applyFont="1" applyBorder="1"/>
    <xf numFmtId="0" fontId="4" fillId="3" borderId="1" xfId="0" applyFont="1" applyFill="1" applyBorder="1" applyAlignment="1">
      <alignment horizontal="left" wrapText="1"/>
    </xf>
    <xf numFmtId="3" fontId="4" fillId="3" borderId="1" xfId="0" applyNumberFormat="1" applyFont="1" applyFill="1" applyBorder="1" applyAlignment="1">
      <alignment horizontal="right" wrapText="1"/>
    </xf>
    <xf numFmtId="3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center"/>
    </xf>
    <xf numFmtId="3" fontId="2" fillId="3" borderId="8" xfId="0" applyNumberFormat="1" applyFont="1" applyFill="1" applyBorder="1"/>
    <xf numFmtId="4" fontId="2" fillId="3" borderId="3" xfId="0" applyNumberFormat="1" applyFont="1" applyFill="1" applyBorder="1"/>
    <xf numFmtId="4" fontId="2" fillId="3" borderId="4" xfId="0" applyNumberFormat="1" applyFont="1" applyFill="1" applyBorder="1" applyAlignment="1"/>
    <xf numFmtId="3" fontId="2" fillId="3" borderId="4" xfId="0" applyNumberFormat="1" applyFont="1" applyFill="1" applyBorder="1"/>
    <xf numFmtId="0" fontId="3" fillId="3" borderId="1" xfId="0" applyFont="1" applyFill="1" applyBorder="1" applyAlignment="1"/>
    <xf numFmtId="0" fontId="1" fillId="3" borderId="1" xfId="0" applyFont="1" applyFill="1" applyBorder="1"/>
    <xf numFmtId="3" fontId="1" fillId="3" borderId="8" xfId="0" applyNumberFormat="1" applyFont="1" applyFill="1" applyBorder="1"/>
    <xf numFmtId="4" fontId="1" fillId="3" borderId="3" xfId="0" applyNumberFormat="1" applyFont="1" applyFill="1" applyBorder="1" applyAlignment="1"/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wrapText="1"/>
    </xf>
    <xf numFmtId="3" fontId="3" fillId="3" borderId="1" xfId="0" applyNumberFormat="1" applyFont="1" applyFill="1" applyBorder="1" applyAlignment="1">
      <alignment horizontal="right" wrapText="1"/>
    </xf>
    <xf numFmtId="3" fontId="1" fillId="3" borderId="1" xfId="0" applyNumberFormat="1" applyFont="1" applyFill="1" applyBorder="1"/>
    <xf numFmtId="4" fontId="1" fillId="3" borderId="3" xfId="0" applyNumberFormat="1" applyFont="1" applyFill="1" applyBorder="1"/>
    <xf numFmtId="4" fontId="1" fillId="3" borderId="4" xfId="0" applyNumberFormat="1" applyFont="1" applyFill="1" applyBorder="1"/>
    <xf numFmtId="3" fontId="1" fillId="3" borderId="4" xfId="0" applyNumberFormat="1" applyFont="1" applyFill="1" applyBorder="1"/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right" wrapText="1"/>
    </xf>
    <xf numFmtId="0" fontId="3" fillId="4" borderId="1" xfId="0" applyFont="1" applyFill="1" applyBorder="1" applyAlignment="1">
      <alignment horizontal="left" wrapText="1"/>
    </xf>
    <xf numFmtId="3" fontId="3" fillId="4" borderId="1" xfId="0" applyNumberFormat="1" applyFont="1" applyFill="1" applyBorder="1" applyAlignment="1">
      <alignment wrapText="1"/>
    </xf>
    <xf numFmtId="3" fontId="3" fillId="4" borderId="1" xfId="0" applyNumberFormat="1" applyFont="1" applyFill="1" applyBorder="1" applyAlignment="1">
      <alignment horizontal="right" wrapText="1"/>
    </xf>
    <xf numFmtId="4" fontId="1" fillId="0" borderId="0" xfId="0" applyNumberFormat="1" applyFont="1" applyAlignment="1"/>
    <xf numFmtId="4" fontId="1" fillId="0" borderId="4" xfId="0" applyNumberFormat="1" applyFont="1" applyBorder="1" applyAlignment="1"/>
    <xf numFmtId="0" fontId="1" fillId="4" borderId="1" xfId="0" applyFont="1" applyFill="1" applyBorder="1"/>
    <xf numFmtId="0" fontId="1" fillId="4" borderId="1" xfId="0" applyFont="1" applyFill="1" applyBorder="1" applyAlignment="1"/>
    <xf numFmtId="3" fontId="1" fillId="4" borderId="1" xfId="0" applyNumberFormat="1" applyFont="1" applyFill="1" applyBorder="1"/>
    <xf numFmtId="0" fontId="1" fillId="5" borderId="1" xfId="0" applyFont="1" applyFill="1" applyBorder="1"/>
    <xf numFmtId="4" fontId="1" fillId="0" borderId="9" xfId="0" applyNumberFormat="1" applyFont="1" applyBorder="1"/>
    <xf numFmtId="3" fontId="1" fillId="0" borderId="9" xfId="0" applyNumberFormat="1" applyFont="1" applyBorder="1"/>
    <xf numFmtId="3" fontId="1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3" fontId="1" fillId="2" borderId="8" xfId="0" applyNumberFormat="1" applyFont="1" applyFill="1" applyBorder="1"/>
    <xf numFmtId="4" fontId="1" fillId="2" borderId="3" xfId="0" applyNumberFormat="1" applyFont="1" applyFill="1" applyBorder="1"/>
    <xf numFmtId="4" fontId="1" fillId="2" borderId="4" xfId="0" applyNumberFormat="1" applyFont="1" applyFill="1" applyBorder="1"/>
    <xf numFmtId="3" fontId="1" fillId="2" borderId="4" xfId="0" applyNumberFormat="1" applyFont="1" applyFill="1" applyBorder="1"/>
    <xf numFmtId="3" fontId="4" fillId="3" borderId="10" xfId="0" applyNumberFormat="1" applyFont="1" applyFill="1" applyBorder="1" applyAlignment="1">
      <alignment horizontal="right" wrapText="1"/>
    </xf>
    <xf numFmtId="49" fontId="4" fillId="3" borderId="10" xfId="0" applyNumberFormat="1" applyFont="1" applyFill="1" applyBorder="1" applyAlignment="1">
      <alignment horizontal="center" wrapText="1"/>
    </xf>
    <xf numFmtId="3" fontId="4" fillId="3" borderId="11" xfId="0" applyNumberFormat="1" applyFont="1" applyFill="1" applyBorder="1" applyAlignment="1">
      <alignment horizontal="right" wrapText="1"/>
    </xf>
    <xf numFmtId="4" fontId="4" fillId="3" borderId="12" xfId="0" applyNumberFormat="1" applyFont="1" applyFill="1" applyBorder="1" applyAlignment="1">
      <alignment horizontal="right" wrapText="1"/>
    </xf>
    <xf numFmtId="4" fontId="4" fillId="3" borderId="4" xfId="0" applyNumberFormat="1" applyFont="1" applyFill="1" applyBorder="1" applyAlignment="1">
      <alignment horizontal="right" wrapText="1"/>
    </xf>
    <xf numFmtId="3" fontId="4" fillId="3" borderId="4" xfId="0" applyNumberFormat="1" applyFont="1" applyFill="1" applyBorder="1" applyAlignment="1">
      <alignment horizontal="right" wrapText="1"/>
    </xf>
    <xf numFmtId="3" fontId="1" fillId="0" borderId="4" xfId="0" applyNumberFormat="1" applyFont="1" applyBorder="1" applyAlignment="1"/>
    <xf numFmtId="49" fontId="2" fillId="4" borderId="1" xfId="0" applyNumberFormat="1" applyFont="1" applyFill="1" applyBorder="1" applyAlignment="1">
      <alignment horizontal="center"/>
    </xf>
    <xf numFmtId="3" fontId="1" fillId="4" borderId="8" xfId="0" applyNumberFormat="1" applyFont="1" applyFill="1" applyBorder="1"/>
    <xf numFmtId="4" fontId="1" fillId="4" borderId="3" xfId="0" applyNumberFormat="1" applyFont="1" applyFill="1" applyBorder="1"/>
    <xf numFmtId="4" fontId="1" fillId="4" borderId="4" xfId="0" applyNumberFormat="1" applyFont="1" applyFill="1" applyBorder="1"/>
    <xf numFmtId="3" fontId="1" fillId="4" borderId="4" xfId="0" applyNumberFormat="1" applyFont="1" applyFill="1" applyBorder="1"/>
    <xf numFmtId="4" fontId="1" fillId="4" borderId="3" xfId="0" applyNumberFormat="1" applyFont="1" applyFill="1" applyBorder="1" applyAlignment="1"/>
    <xf numFmtId="0" fontId="5" fillId="4" borderId="1" xfId="0" applyFont="1" applyFill="1" applyBorder="1"/>
    <xf numFmtId="0" fontId="6" fillId="4" borderId="1" xfId="0" applyFont="1" applyFill="1" applyBorder="1" applyAlignment="1">
      <alignment horizontal="left" wrapText="1"/>
    </xf>
    <xf numFmtId="3" fontId="6" fillId="4" borderId="1" xfId="0" applyNumberFormat="1" applyFont="1" applyFill="1" applyBorder="1" applyAlignment="1">
      <alignment horizontal="right" wrapText="1"/>
    </xf>
    <xf numFmtId="3" fontId="6" fillId="4" borderId="1" xfId="0" applyNumberFormat="1" applyFont="1" applyFill="1" applyBorder="1" applyAlignment="1">
      <alignment wrapText="1"/>
    </xf>
    <xf numFmtId="3" fontId="5" fillId="4" borderId="1" xfId="0" applyNumberFormat="1" applyFont="1" applyFill="1" applyBorder="1"/>
    <xf numFmtId="0" fontId="6" fillId="0" borderId="0" xfId="0" applyFont="1" applyAlignment="1">
      <alignment horizontal="left" wrapText="1"/>
    </xf>
    <xf numFmtId="3" fontId="6" fillId="0" borderId="0" xfId="0" applyNumberFormat="1" applyFont="1" applyAlignment="1">
      <alignment wrapText="1"/>
    </xf>
    <xf numFmtId="3" fontId="6" fillId="0" borderId="0" xfId="0" applyNumberFormat="1" applyFont="1" applyAlignment="1">
      <alignment horizontal="right" wrapText="1"/>
    </xf>
    <xf numFmtId="3" fontId="5" fillId="0" borderId="0" xfId="0" applyNumberFormat="1" applyFont="1"/>
    <xf numFmtId="3" fontId="5" fillId="0" borderId="4" xfId="0" applyNumberFormat="1" applyFont="1" applyBorder="1"/>
    <xf numFmtId="4" fontId="5" fillId="0" borderId="0" xfId="0" applyNumberFormat="1" applyFont="1" applyAlignment="1"/>
    <xf numFmtId="4" fontId="5" fillId="0" borderId="4" xfId="0" applyNumberFormat="1" applyFont="1" applyBorder="1" applyAlignment="1"/>
    <xf numFmtId="0" fontId="5" fillId="0" borderId="0" xfId="0" applyFont="1"/>
    <xf numFmtId="4" fontId="5" fillId="0" borderId="0" xfId="0" applyNumberFormat="1" applyFont="1"/>
    <xf numFmtId="4" fontId="5" fillId="0" borderId="4" xfId="0" applyNumberFormat="1" applyFont="1" applyBorder="1"/>
    <xf numFmtId="4" fontId="5" fillId="0" borderId="9" xfId="0" applyNumberFormat="1" applyFont="1" applyBorder="1"/>
    <xf numFmtId="3" fontId="5" fillId="0" borderId="9" xfId="0" applyNumberFormat="1" applyFont="1" applyBorder="1"/>
    <xf numFmtId="3" fontId="3" fillId="4" borderId="10" xfId="0" applyNumberFormat="1" applyFont="1" applyFill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49" fontId="4" fillId="4" borderId="10" xfId="0" applyNumberFormat="1" applyFont="1" applyFill="1" applyBorder="1" applyAlignment="1">
      <alignment horizontal="center" wrapText="1"/>
    </xf>
    <xf numFmtId="3" fontId="3" fillId="4" borderId="11" xfId="0" applyNumberFormat="1" applyFont="1" applyFill="1" applyBorder="1" applyAlignment="1">
      <alignment horizontal="right" wrapText="1"/>
    </xf>
    <xf numFmtId="4" fontId="3" fillId="4" borderId="14" xfId="0" applyNumberFormat="1" applyFont="1" applyFill="1" applyBorder="1" applyAlignment="1">
      <alignment horizontal="right" wrapText="1"/>
    </xf>
    <xf numFmtId="4" fontId="3" fillId="4" borderId="4" xfId="0" applyNumberFormat="1" applyFont="1" applyFill="1" applyBorder="1" applyAlignment="1">
      <alignment horizontal="right" wrapText="1"/>
    </xf>
    <xf numFmtId="3" fontId="3" fillId="4" borderId="4" xfId="0" applyNumberFormat="1" applyFont="1" applyFill="1" applyBorder="1" applyAlignment="1">
      <alignment horizontal="right" wrapText="1"/>
    </xf>
    <xf numFmtId="4" fontId="1" fillId="0" borderId="9" xfId="0" applyNumberFormat="1" applyFont="1" applyBorder="1" applyAlignment="1"/>
    <xf numFmtId="3" fontId="1" fillId="0" borderId="9" xfId="0" applyNumberFormat="1" applyFont="1" applyBorder="1" applyAlignment="1"/>
    <xf numFmtId="4" fontId="4" fillId="3" borderId="3" xfId="0" applyNumberFormat="1" applyFont="1" applyFill="1" applyBorder="1" applyAlignment="1">
      <alignment horizontal="right" wrapText="1"/>
    </xf>
    <xf numFmtId="3" fontId="7" fillId="4" borderId="1" xfId="0" applyNumberFormat="1" applyFont="1" applyFill="1" applyBorder="1" applyAlignment="1">
      <alignment horizontal="right" wrapText="1"/>
    </xf>
    <xf numFmtId="4" fontId="4" fillId="3" borderId="9" xfId="0" applyNumberFormat="1" applyFont="1" applyFill="1" applyBorder="1" applyAlignment="1">
      <alignment horizontal="right" wrapText="1"/>
    </xf>
    <xf numFmtId="3" fontId="4" fillId="3" borderId="9" xfId="0" applyNumberFormat="1" applyFont="1" applyFill="1" applyBorder="1" applyAlignment="1">
      <alignment horizontal="right" wrapText="1"/>
    </xf>
    <xf numFmtId="0" fontId="4" fillId="6" borderId="1" xfId="0" applyFont="1" applyFill="1" applyBorder="1" applyAlignment="1">
      <alignment horizontal="left" wrapText="1"/>
    </xf>
    <xf numFmtId="3" fontId="4" fillId="6" borderId="10" xfId="0" applyNumberFormat="1" applyFont="1" applyFill="1" applyBorder="1" applyAlignment="1">
      <alignment horizontal="right" wrapText="1"/>
    </xf>
    <xf numFmtId="49" fontId="4" fillId="6" borderId="10" xfId="0" applyNumberFormat="1" applyFont="1" applyFill="1" applyBorder="1" applyAlignment="1">
      <alignment horizontal="center" wrapText="1"/>
    </xf>
    <xf numFmtId="3" fontId="4" fillId="6" borderId="11" xfId="0" applyNumberFormat="1" applyFont="1" applyFill="1" applyBorder="1" applyAlignment="1">
      <alignment horizontal="right" wrapText="1"/>
    </xf>
    <xf numFmtId="4" fontId="4" fillId="6" borderId="12" xfId="0" applyNumberFormat="1" applyFont="1" applyFill="1" applyBorder="1" applyAlignment="1">
      <alignment horizontal="right" wrapText="1"/>
    </xf>
    <xf numFmtId="4" fontId="4" fillId="6" borderId="4" xfId="0" applyNumberFormat="1" applyFont="1" applyFill="1" applyBorder="1" applyAlignment="1">
      <alignment horizontal="right" wrapText="1"/>
    </xf>
    <xf numFmtId="3" fontId="4" fillId="6" borderId="4" xfId="0" applyNumberFormat="1" applyFont="1" applyFill="1" applyBorder="1" applyAlignment="1">
      <alignment horizontal="right" wrapText="1"/>
    </xf>
    <xf numFmtId="0" fontId="1" fillId="6" borderId="1" xfId="0" applyFont="1" applyFill="1" applyBorder="1"/>
    <xf numFmtId="3" fontId="4" fillId="0" borderId="13" xfId="0" applyNumberFormat="1" applyFont="1" applyBorder="1" applyAlignment="1">
      <alignment horizontal="right" wrapText="1"/>
    </xf>
    <xf numFmtId="0" fontId="4" fillId="7" borderId="1" xfId="0" applyFont="1" applyFill="1" applyBorder="1" applyAlignment="1">
      <alignment horizontal="left" wrapText="1"/>
    </xf>
    <xf numFmtId="3" fontId="4" fillId="7" borderId="10" xfId="0" applyNumberFormat="1" applyFont="1" applyFill="1" applyBorder="1" applyAlignment="1">
      <alignment horizontal="right" wrapText="1"/>
    </xf>
    <xf numFmtId="49" fontId="4" fillId="7" borderId="10" xfId="0" applyNumberFormat="1" applyFont="1" applyFill="1" applyBorder="1" applyAlignment="1">
      <alignment horizontal="center" wrapText="1"/>
    </xf>
    <xf numFmtId="3" fontId="4" fillId="7" borderId="11" xfId="0" applyNumberFormat="1" applyFont="1" applyFill="1" applyBorder="1" applyAlignment="1">
      <alignment horizontal="right" wrapText="1"/>
    </xf>
    <xf numFmtId="0" fontId="1" fillId="7" borderId="1" xfId="0" applyFont="1" applyFill="1" applyBorder="1"/>
    <xf numFmtId="0" fontId="4" fillId="8" borderId="1" xfId="0" applyFont="1" applyFill="1" applyBorder="1" applyAlignment="1">
      <alignment horizontal="left" wrapText="1"/>
    </xf>
    <xf numFmtId="3" fontId="3" fillId="8" borderId="1" xfId="0" applyNumberFormat="1" applyFont="1" applyFill="1" applyBorder="1" applyAlignment="1">
      <alignment horizontal="right" wrapText="1"/>
    </xf>
    <xf numFmtId="3" fontId="1" fillId="8" borderId="1" xfId="0" applyNumberFormat="1" applyFont="1" applyFill="1" applyBorder="1"/>
    <xf numFmtId="3" fontId="3" fillId="8" borderId="1" xfId="0" applyNumberFormat="1" applyFont="1" applyFill="1" applyBorder="1" applyAlignment="1">
      <alignment wrapText="1"/>
    </xf>
    <xf numFmtId="49" fontId="2" fillId="8" borderId="1" xfId="0" applyNumberFormat="1" applyFont="1" applyFill="1" applyBorder="1" applyAlignment="1">
      <alignment horizontal="center"/>
    </xf>
    <xf numFmtId="3" fontId="1" fillId="8" borderId="8" xfId="0" applyNumberFormat="1" applyFont="1" applyFill="1" applyBorder="1"/>
    <xf numFmtId="4" fontId="1" fillId="8" borderId="3" xfId="0" applyNumberFormat="1" applyFont="1" applyFill="1" applyBorder="1"/>
    <xf numFmtId="4" fontId="1" fillId="8" borderId="4" xfId="0" applyNumberFormat="1" applyFont="1" applyFill="1" applyBorder="1"/>
    <xf numFmtId="3" fontId="1" fillId="8" borderId="4" xfId="0" applyNumberFormat="1" applyFont="1" applyFill="1" applyBorder="1"/>
    <xf numFmtId="0" fontId="1" fillId="8" borderId="1" xfId="0" applyFont="1" applyFill="1" applyBorder="1"/>
    <xf numFmtId="4" fontId="1" fillId="8" borderId="3" xfId="0" applyNumberFormat="1" applyFont="1" applyFill="1" applyBorder="1" applyAlignment="1"/>
    <xf numFmtId="0" fontId="3" fillId="9" borderId="1" xfId="0" applyFont="1" applyFill="1" applyBorder="1" applyAlignment="1">
      <alignment horizontal="left" wrapText="1"/>
    </xf>
    <xf numFmtId="3" fontId="3" fillId="9" borderId="1" xfId="0" applyNumberFormat="1" applyFont="1" applyFill="1" applyBorder="1" applyAlignment="1">
      <alignment wrapText="1"/>
    </xf>
    <xf numFmtId="3" fontId="1" fillId="9" borderId="1" xfId="0" applyNumberFormat="1" applyFont="1" applyFill="1" applyBorder="1"/>
    <xf numFmtId="49" fontId="2" fillId="9" borderId="1" xfId="0" applyNumberFormat="1" applyFont="1" applyFill="1" applyBorder="1" applyAlignment="1">
      <alignment horizontal="center"/>
    </xf>
    <xf numFmtId="3" fontId="1" fillId="9" borderId="8" xfId="0" applyNumberFormat="1" applyFont="1" applyFill="1" applyBorder="1"/>
    <xf numFmtId="4" fontId="1" fillId="9" borderId="3" xfId="0" applyNumberFormat="1" applyFont="1" applyFill="1" applyBorder="1"/>
    <xf numFmtId="4" fontId="1" fillId="9" borderId="4" xfId="0" applyNumberFormat="1" applyFont="1" applyFill="1" applyBorder="1"/>
    <xf numFmtId="3" fontId="1" fillId="9" borderId="4" xfId="0" applyNumberFormat="1" applyFont="1" applyFill="1" applyBorder="1"/>
    <xf numFmtId="0" fontId="8" fillId="9" borderId="1" xfId="0" applyFont="1" applyFill="1" applyBorder="1" applyAlignment="1"/>
    <xf numFmtId="0" fontId="1" fillId="9" borderId="1" xfId="0" applyFont="1" applyFill="1" applyBorder="1"/>
    <xf numFmtId="3" fontId="3" fillId="9" borderId="1" xfId="0" applyNumberFormat="1" applyFont="1" applyFill="1" applyBorder="1" applyAlignment="1">
      <alignment horizontal="right" wrapText="1"/>
    </xf>
    <xf numFmtId="4" fontId="1" fillId="9" borderId="3" xfId="0" applyNumberFormat="1" applyFont="1" applyFill="1" applyBorder="1" applyAlignment="1"/>
    <xf numFmtId="4" fontId="1" fillId="9" borderId="4" xfId="0" applyNumberFormat="1" applyFont="1" applyFill="1" applyBorder="1" applyAlignment="1"/>
    <xf numFmtId="0" fontId="5" fillId="10" borderId="0" xfId="0" applyFont="1" applyFill="1" applyAlignment="1">
      <alignment horizontal="right"/>
    </xf>
    <xf numFmtId="0" fontId="5" fillId="10" borderId="0" xfId="0" applyFont="1" applyFill="1" applyAlignment="1">
      <alignment horizontal="right"/>
    </xf>
    <xf numFmtId="3" fontId="5" fillId="10" borderId="1" xfId="0" applyNumberFormat="1" applyFont="1" applyFill="1" applyBorder="1"/>
    <xf numFmtId="4" fontId="1" fillId="9" borderId="1" xfId="0" applyNumberFormat="1" applyFont="1" applyFill="1" applyBorder="1"/>
    <xf numFmtId="0" fontId="1" fillId="9" borderId="1" xfId="0" applyFont="1" applyFill="1" applyBorder="1" applyAlignment="1"/>
    <xf numFmtId="49" fontId="4" fillId="9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9" fillId="3" borderId="0" xfId="0" applyFont="1" applyFill="1" applyAlignment="1">
      <alignment horizontal="right"/>
    </xf>
    <xf numFmtId="3" fontId="5" fillId="3" borderId="1" xfId="0" applyNumberFormat="1" applyFont="1" applyFill="1" applyBorder="1"/>
    <xf numFmtId="4" fontId="1" fillId="7" borderId="0" xfId="0" applyNumberFormat="1" applyFont="1" applyFill="1" applyAlignment="1"/>
    <xf numFmtId="0" fontId="10" fillId="7" borderId="0" xfId="0" applyFont="1" applyFill="1" applyAlignment="1">
      <alignment horizontal="left"/>
    </xf>
    <xf numFmtId="164" fontId="5" fillId="10" borderId="0" xfId="0" applyNumberFormat="1" applyFont="1" applyFill="1"/>
    <xf numFmtId="0" fontId="10" fillId="3" borderId="0" xfId="0" applyFont="1" applyFill="1" applyAlignment="1"/>
    <xf numFmtId="4" fontId="1" fillId="3" borderId="0" xfId="0" applyNumberFormat="1" applyFont="1" applyFill="1"/>
    <xf numFmtId="0" fontId="9" fillId="0" borderId="0" xfId="0" applyFont="1"/>
    <xf numFmtId="3" fontId="3" fillId="9" borderId="10" xfId="0" applyNumberFormat="1" applyFont="1" applyFill="1" applyBorder="1" applyAlignment="1">
      <alignment horizontal="right" wrapText="1"/>
    </xf>
    <xf numFmtId="49" fontId="2" fillId="9" borderId="10" xfId="0" applyNumberFormat="1" applyFont="1" applyFill="1" applyBorder="1" applyAlignment="1">
      <alignment horizontal="center"/>
    </xf>
    <xf numFmtId="3" fontId="1" fillId="9" borderId="4" xfId="0" applyNumberFormat="1" applyFont="1" applyFill="1" applyBorder="1" applyAlignment="1"/>
    <xf numFmtId="164" fontId="1" fillId="10" borderId="10" xfId="0" applyNumberFormat="1" applyFont="1" applyFill="1" applyBorder="1"/>
    <xf numFmtId="0" fontId="1" fillId="7" borderId="1" xfId="0" applyFont="1" applyFill="1" applyBorder="1" applyAlignment="1"/>
    <xf numFmtId="164" fontId="1" fillId="10" borderId="1" xfId="0" applyNumberFormat="1" applyFont="1" applyFill="1" applyBorder="1"/>
    <xf numFmtId="3" fontId="3" fillId="9" borderId="1" xfId="0" applyNumberFormat="1" applyFont="1" applyFill="1" applyBorder="1"/>
    <xf numFmtId="3" fontId="3" fillId="9" borderId="8" xfId="0" applyNumberFormat="1" applyFont="1" applyFill="1" applyBorder="1"/>
    <xf numFmtId="3" fontId="3" fillId="9" borderId="4" xfId="0" applyNumberFormat="1" applyFont="1" applyFill="1" applyBorder="1"/>
    <xf numFmtId="4" fontId="1" fillId="0" borderId="1" xfId="0" applyNumberFormat="1" applyFont="1" applyBorder="1" applyAlignment="1"/>
    <xf numFmtId="4" fontId="1" fillId="9" borderId="1" xfId="0" applyNumberFormat="1" applyFont="1" applyFill="1" applyBorder="1" applyAlignment="1"/>
    <xf numFmtId="0" fontId="3" fillId="9" borderId="1" xfId="0" applyFont="1" applyFill="1" applyBorder="1" applyAlignment="1">
      <alignment horizontal="left" wrapText="1"/>
    </xf>
    <xf numFmtId="3" fontId="1" fillId="9" borderId="9" xfId="0" applyNumberFormat="1" applyFont="1" applyFill="1" applyBorder="1" applyAlignment="1"/>
    <xf numFmtId="0" fontId="3" fillId="7" borderId="1" xfId="0" applyFont="1" applyFill="1" applyBorder="1" applyAlignment="1"/>
    <xf numFmtId="2" fontId="1" fillId="3" borderId="1" xfId="0" applyNumberFormat="1" applyFont="1" applyFill="1" applyBorder="1"/>
    <xf numFmtId="0" fontId="11" fillId="9" borderId="0" xfId="0" applyFont="1" applyFill="1"/>
    <xf numFmtId="164" fontId="1" fillId="9" borderId="1" xfId="0" applyNumberFormat="1" applyFont="1" applyFill="1" applyBorder="1"/>
    <xf numFmtId="3" fontId="4" fillId="8" borderId="10" xfId="0" applyNumberFormat="1" applyFont="1" applyFill="1" applyBorder="1" applyAlignment="1">
      <alignment horizontal="right" wrapText="1"/>
    </xf>
    <xf numFmtId="49" fontId="4" fillId="8" borderId="10" xfId="0" applyNumberFormat="1" applyFont="1" applyFill="1" applyBorder="1" applyAlignment="1">
      <alignment horizontal="center" wrapText="1"/>
    </xf>
    <xf numFmtId="3" fontId="4" fillId="8" borderId="11" xfId="0" applyNumberFormat="1" applyFont="1" applyFill="1" applyBorder="1" applyAlignment="1">
      <alignment horizontal="right" wrapText="1"/>
    </xf>
    <xf numFmtId="4" fontId="4" fillId="8" borderId="4" xfId="0" applyNumberFormat="1" applyFont="1" applyFill="1" applyBorder="1" applyAlignment="1">
      <alignment horizontal="right" wrapText="1"/>
    </xf>
    <xf numFmtId="3" fontId="4" fillId="8" borderId="4" xfId="0" applyNumberFormat="1" applyFont="1" applyFill="1" applyBorder="1" applyAlignment="1">
      <alignment horizontal="right" wrapText="1"/>
    </xf>
    <xf numFmtId="0" fontId="2" fillId="8" borderId="1" xfId="0" applyFont="1" applyFill="1" applyBorder="1" applyAlignment="1"/>
    <xf numFmtId="4" fontId="8" fillId="8" borderId="1" xfId="0" applyNumberFormat="1" applyFont="1" applyFill="1" applyBorder="1"/>
    <xf numFmtId="3" fontId="3" fillId="0" borderId="0" xfId="0" applyNumberFormat="1" applyFont="1"/>
    <xf numFmtId="49" fontId="4" fillId="0" borderId="0" xfId="0" applyNumberFormat="1" applyFont="1" applyAlignment="1">
      <alignment horizontal="center"/>
    </xf>
    <xf numFmtId="3" fontId="3" fillId="0" borderId="4" xfId="0" applyNumberFormat="1" applyFont="1" applyBorder="1"/>
    <xf numFmtId="4" fontId="3" fillId="0" borderId="0" xfId="0" applyNumberFormat="1" applyFont="1" applyAlignment="1"/>
    <xf numFmtId="4" fontId="3" fillId="0" borderId="4" xfId="0" applyNumberFormat="1" applyFont="1" applyBorder="1"/>
    <xf numFmtId="0" fontId="3" fillId="0" borderId="0" xfId="0" applyFont="1"/>
    <xf numFmtId="3" fontId="1" fillId="11" borderId="4" xfId="0" applyNumberFormat="1" applyFont="1" applyFill="1" applyBorder="1"/>
    <xf numFmtId="0" fontId="1" fillId="0" borderId="0" xfId="0" applyFont="1" applyAlignment="1"/>
    <xf numFmtId="4" fontId="4" fillId="8" borderId="12" xfId="0" applyNumberFormat="1" applyFont="1" applyFill="1" applyBorder="1" applyAlignment="1">
      <alignment horizontal="right" wrapText="1"/>
    </xf>
    <xf numFmtId="0" fontId="1" fillId="12" borderId="1" xfId="0" applyFont="1" applyFill="1" applyBorder="1"/>
    <xf numFmtId="0" fontId="1" fillId="13" borderId="1" xfId="0" applyFont="1" applyFill="1" applyBorder="1"/>
    <xf numFmtId="0" fontId="5" fillId="5" borderId="1" xfId="0" applyFont="1" applyFill="1" applyBorder="1"/>
    <xf numFmtId="0" fontId="5" fillId="13" borderId="1" xfId="0" applyFont="1" applyFill="1" applyBorder="1"/>
    <xf numFmtId="0" fontId="5" fillId="0" borderId="0" xfId="0" applyFont="1" applyAlignment="1"/>
    <xf numFmtId="3" fontId="4" fillId="9" borderId="10" xfId="0" applyNumberFormat="1" applyFont="1" applyFill="1" applyBorder="1" applyAlignment="1">
      <alignment horizontal="right" wrapText="1"/>
    </xf>
    <xf numFmtId="49" fontId="4" fillId="9" borderId="10" xfId="0" applyNumberFormat="1" applyFont="1" applyFill="1" applyBorder="1" applyAlignment="1">
      <alignment horizontal="center" wrapText="1"/>
    </xf>
    <xf numFmtId="3" fontId="4" fillId="9" borderId="11" xfId="0" applyNumberFormat="1" applyFont="1" applyFill="1" applyBorder="1" applyAlignment="1">
      <alignment horizontal="right" wrapText="1"/>
    </xf>
    <xf numFmtId="4" fontId="4" fillId="9" borderId="12" xfId="0" applyNumberFormat="1" applyFont="1" applyFill="1" applyBorder="1" applyAlignment="1">
      <alignment horizontal="right" wrapText="1"/>
    </xf>
    <xf numFmtId="4" fontId="4" fillId="9" borderId="4" xfId="0" applyNumberFormat="1" applyFont="1" applyFill="1" applyBorder="1" applyAlignment="1">
      <alignment horizontal="right" wrapText="1"/>
    </xf>
    <xf numFmtId="3" fontId="4" fillId="9" borderId="4" xfId="0" applyNumberFormat="1" applyFont="1" applyFill="1" applyBorder="1" applyAlignment="1">
      <alignment horizontal="right" wrapText="1"/>
    </xf>
    <xf numFmtId="3" fontId="5" fillId="0" borderId="15" xfId="0" applyNumberFormat="1" applyFont="1" applyBorder="1"/>
    <xf numFmtId="0" fontId="5" fillId="12" borderId="1" xfId="0" applyFont="1" applyFill="1" applyBorder="1"/>
    <xf numFmtId="2" fontId="5" fillId="12" borderId="1" xfId="0" applyNumberFormat="1" applyFont="1" applyFill="1" applyBorder="1"/>
    <xf numFmtId="0" fontId="1" fillId="12" borderId="1" xfId="0" applyFont="1" applyFill="1" applyBorder="1" applyAlignment="1"/>
    <xf numFmtId="0" fontId="1" fillId="5" borderId="1" xfId="0" applyFont="1" applyFill="1" applyBorder="1" applyAlignment="1"/>
    <xf numFmtId="2" fontId="1" fillId="9" borderId="1" xfId="0" applyNumberFormat="1" applyFont="1" applyFill="1" applyBorder="1"/>
    <xf numFmtId="4" fontId="1" fillId="9" borderId="9" xfId="0" applyNumberFormat="1" applyFont="1" applyFill="1" applyBorder="1"/>
    <xf numFmtId="3" fontId="1" fillId="9" borderId="9" xfId="0" applyNumberFormat="1" applyFont="1" applyFill="1" applyBorder="1"/>
    <xf numFmtId="0" fontId="6" fillId="0" borderId="1" xfId="0" applyFont="1" applyBorder="1" applyAlignment="1">
      <alignment horizontal="left" wrapText="1"/>
    </xf>
    <xf numFmtId="0" fontId="1" fillId="8" borderId="1" xfId="0" applyFont="1" applyFill="1" applyBorder="1" applyAlignment="1"/>
    <xf numFmtId="4" fontId="1" fillId="8" borderId="9" xfId="0" applyNumberFormat="1" applyFont="1" applyFill="1" applyBorder="1"/>
    <xf numFmtId="3" fontId="1" fillId="8" borderId="9" xfId="0" applyNumberFormat="1" applyFont="1" applyFill="1" applyBorder="1"/>
    <xf numFmtId="0" fontId="4" fillId="14" borderId="1" xfId="0" applyFont="1" applyFill="1" applyBorder="1" applyAlignment="1">
      <alignment horizontal="left" wrapText="1"/>
    </xf>
    <xf numFmtId="3" fontId="4" fillId="14" borderId="10" xfId="0" applyNumberFormat="1" applyFont="1" applyFill="1" applyBorder="1" applyAlignment="1">
      <alignment horizontal="right" wrapText="1"/>
    </xf>
    <xf numFmtId="49" fontId="4" fillId="14" borderId="10" xfId="0" applyNumberFormat="1" applyFont="1" applyFill="1" applyBorder="1" applyAlignment="1">
      <alignment horizontal="center" wrapText="1"/>
    </xf>
    <xf numFmtId="3" fontId="4" fillId="14" borderId="11" xfId="0" applyNumberFormat="1" applyFont="1" applyFill="1" applyBorder="1" applyAlignment="1">
      <alignment horizontal="right" wrapText="1"/>
    </xf>
    <xf numFmtId="4" fontId="4" fillId="14" borderId="12" xfId="0" applyNumberFormat="1" applyFont="1" applyFill="1" applyBorder="1" applyAlignment="1">
      <alignment horizontal="right" wrapText="1"/>
    </xf>
    <xf numFmtId="4" fontId="4" fillId="14" borderId="4" xfId="0" applyNumberFormat="1" applyFont="1" applyFill="1" applyBorder="1" applyAlignment="1">
      <alignment horizontal="right" wrapText="1"/>
    </xf>
    <xf numFmtId="3" fontId="4" fillId="14" borderId="4" xfId="0" applyNumberFormat="1" applyFont="1" applyFill="1" applyBorder="1" applyAlignment="1">
      <alignment horizontal="right" wrapText="1"/>
    </xf>
    <xf numFmtId="0" fontId="1" fillId="14" borderId="1" xfId="0" applyFont="1" applyFill="1" applyBorder="1"/>
    <xf numFmtId="3" fontId="1" fillId="8" borderId="4" xfId="0" applyNumberFormat="1" applyFont="1" applyFill="1" applyBorder="1" applyAlignment="1"/>
    <xf numFmtId="0" fontId="12" fillId="9" borderId="1" xfId="0" applyFont="1" applyFill="1" applyBorder="1"/>
    <xf numFmtId="0" fontId="6" fillId="0" borderId="0" xfId="0" applyFont="1" applyAlignment="1">
      <alignment wrapText="1"/>
    </xf>
    <xf numFmtId="3" fontId="5" fillId="0" borderId="4" xfId="0" applyNumberFormat="1" applyFont="1" applyBorder="1" applyAlignment="1"/>
    <xf numFmtId="3" fontId="3" fillId="9" borderId="11" xfId="0" applyNumberFormat="1" applyFont="1" applyFill="1" applyBorder="1" applyAlignment="1">
      <alignment horizontal="right" wrapText="1"/>
    </xf>
    <xf numFmtId="4" fontId="3" fillId="9" borderId="4" xfId="0" applyNumberFormat="1" applyFont="1" applyFill="1" applyBorder="1" applyAlignment="1">
      <alignment horizontal="right" wrapText="1"/>
    </xf>
    <xf numFmtId="3" fontId="3" fillId="9" borderId="4" xfId="0" applyNumberFormat="1" applyFont="1" applyFill="1" applyBorder="1" applyAlignment="1">
      <alignment horizontal="right" wrapText="1"/>
    </xf>
    <xf numFmtId="49" fontId="2" fillId="9" borderId="10" xfId="0" applyNumberFormat="1" applyFont="1" applyFill="1" applyBorder="1" applyAlignment="1">
      <alignment horizontal="center" wrapText="1"/>
    </xf>
    <xf numFmtId="4" fontId="3" fillId="9" borderId="3" xfId="0" applyNumberFormat="1" applyFont="1" applyFill="1" applyBorder="1" applyAlignment="1">
      <alignment horizontal="right" wrapText="1"/>
    </xf>
    <xf numFmtId="0" fontId="3" fillId="0" borderId="0" xfId="0" applyFont="1" applyAlignment="1"/>
    <xf numFmtId="3" fontId="3" fillId="4" borderId="1" xfId="0" applyNumberFormat="1" applyFont="1" applyFill="1" applyBorder="1"/>
    <xf numFmtId="49" fontId="4" fillId="4" borderId="1" xfId="0" applyNumberFormat="1" applyFont="1" applyFill="1" applyBorder="1" applyAlignment="1">
      <alignment horizontal="center"/>
    </xf>
    <xf numFmtId="3" fontId="3" fillId="4" borderId="8" xfId="0" applyNumberFormat="1" applyFont="1" applyFill="1" applyBorder="1"/>
    <xf numFmtId="4" fontId="1" fillId="0" borderId="16" xfId="0" applyNumberFormat="1" applyFont="1" applyBorder="1" applyAlignment="1"/>
    <xf numFmtId="49" fontId="4" fillId="8" borderId="1" xfId="0" applyNumberFormat="1" applyFont="1" applyFill="1" applyBorder="1" applyAlignment="1">
      <alignment horizontal="center" wrapText="1"/>
    </xf>
    <xf numFmtId="3" fontId="3" fillId="8" borderId="8" xfId="0" applyNumberFormat="1" applyFont="1" applyFill="1" applyBorder="1" applyAlignment="1">
      <alignment wrapText="1"/>
    </xf>
    <xf numFmtId="4" fontId="3" fillId="8" borderId="3" xfId="0" applyNumberFormat="1" applyFont="1" applyFill="1" applyBorder="1" applyAlignment="1">
      <alignment wrapText="1"/>
    </xf>
    <xf numFmtId="4" fontId="3" fillId="8" borderId="4" xfId="0" applyNumberFormat="1" applyFont="1" applyFill="1" applyBorder="1" applyAlignment="1">
      <alignment wrapText="1"/>
    </xf>
    <xf numFmtId="3" fontId="3" fillId="8" borderId="4" xfId="0" applyNumberFormat="1" applyFont="1" applyFill="1" applyBorder="1" applyAlignment="1">
      <alignment wrapText="1"/>
    </xf>
    <xf numFmtId="49" fontId="4" fillId="0" borderId="0" xfId="0" applyNumberFormat="1" applyFont="1" applyAlignment="1">
      <alignment horizontal="center" wrapText="1"/>
    </xf>
    <xf numFmtId="3" fontId="3" fillId="0" borderId="4" xfId="0" applyNumberFormat="1" applyFont="1" applyBorder="1" applyAlignment="1">
      <alignment wrapText="1"/>
    </xf>
    <xf numFmtId="4" fontId="3" fillId="0" borderId="0" xfId="0" applyNumberFormat="1" applyFont="1" applyAlignment="1">
      <alignment wrapText="1"/>
    </xf>
    <xf numFmtId="4" fontId="3" fillId="0" borderId="4" xfId="0" applyNumberFormat="1" applyFont="1" applyBorder="1" applyAlignment="1">
      <alignment wrapText="1"/>
    </xf>
    <xf numFmtId="4" fontId="4" fillId="8" borderId="3" xfId="0" applyNumberFormat="1" applyFont="1" applyFill="1" applyBorder="1" applyAlignment="1">
      <alignment horizontal="right" wrapText="1"/>
    </xf>
    <xf numFmtId="49" fontId="2" fillId="8" borderId="10" xfId="0" applyNumberFormat="1" applyFont="1" applyFill="1" applyBorder="1" applyAlignment="1">
      <alignment horizontal="center" wrapText="1"/>
    </xf>
    <xf numFmtId="0" fontId="11" fillId="8" borderId="0" xfId="0" applyFont="1" applyFill="1"/>
    <xf numFmtId="0" fontId="3" fillId="0" borderId="0" xfId="0" applyFont="1" applyAlignment="1">
      <alignment horizontal="left" wrapText="1"/>
    </xf>
    <xf numFmtId="3" fontId="1" fillId="4" borderId="7" xfId="0" applyNumberFormat="1" applyFont="1" applyFill="1" applyBorder="1"/>
    <xf numFmtId="4" fontId="1" fillId="4" borderId="17" xfId="0" applyNumberFormat="1" applyFont="1" applyFill="1" applyBorder="1" applyAlignment="1"/>
    <xf numFmtId="4" fontId="1" fillId="4" borderId="9" xfId="0" applyNumberFormat="1" applyFont="1" applyFill="1" applyBorder="1"/>
    <xf numFmtId="3" fontId="1" fillId="4" borderId="9" xfId="0" applyNumberFormat="1" applyFont="1" applyFill="1" applyBorder="1"/>
    <xf numFmtId="0" fontId="4" fillId="0" borderId="0" xfId="0" applyFont="1" applyAlignment="1">
      <alignment horizontal="left" wrapText="1"/>
    </xf>
    <xf numFmtId="3" fontId="4" fillId="0" borderId="0" xfId="0" applyNumberFormat="1" applyFont="1" applyAlignment="1">
      <alignment wrapText="1"/>
    </xf>
    <xf numFmtId="3" fontId="2" fillId="0" borderId="0" xfId="0" applyNumberFormat="1" applyFont="1"/>
    <xf numFmtId="3" fontId="2" fillId="4" borderId="1" xfId="0" applyNumberFormat="1" applyFont="1" applyFill="1" applyBorder="1"/>
    <xf numFmtId="3" fontId="2" fillId="4" borderId="18" xfId="0" applyNumberFormat="1" applyFont="1" applyFill="1" applyBorder="1"/>
    <xf numFmtId="4" fontId="2" fillId="4" borderId="19" xfId="0" applyNumberFormat="1" applyFont="1" applyFill="1" applyBorder="1"/>
    <xf numFmtId="4" fontId="2" fillId="4" borderId="4" xfId="0" applyNumberFormat="1" applyFont="1" applyFill="1" applyBorder="1"/>
    <xf numFmtId="3" fontId="2" fillId="4" borderId="4" xfId="0" applyNumberFormat="1" applyFont="1" applyFill="1" applyBorder="1"/>
    <xf numFmtId="0" fontId="2" fillId="0" borderId="0" xfId="0" applyFont="1"/>
    <xf numFmtId="0" fontId="11" fillId="0" borderId="0" xfId="0" applyFont="1" applyAlignment="1"/>
    <xf numFmtId="0" fontId="8" fillId="0" borderId="0" xfId="0" applyFont="1"/>
    <xf numFmtId="3" fontId="12" fillId="0" borderId="0" xfId="0" applyNumberFormat="1" applyFont="1"/>
    <xf numFmtId="49" fontId="13" fillId="0" borderId="0" xfId="0" applyNumberFormat="1" applyFont="1" applyAlignment="1">
      <alignment horizontal="center"/>
    </xf>
    <xf numFmtId="3" fontId="12" fillId="0" borderId="4" xfId="0" applyNumberFormat="1" applyFont="1" applyBorder="1"/>
    <xf numFmtId="4" fontId="12" fillId="0" borderId="0" xfId="0" applyNumberFormat="1" applyFont="1"/>
    <xf numFmtId="4" fontId="12" fillId="0" borderId="4" xfId="0" applyNumberFormat="1" applyFont="1" applyBorder="1"/>
    <xf numFmtId="0" fontId="7" fillId="0" borderId="0" xfId="0" applyFont="1"/>
    <xf numFmtId="4" fontId="1" fillId="8" borderId="4" xfId="0" applyNumberFormat="1" applyFont="1" applyFill="1" applyBorder="1" applyAlignment="1"/>
    <xf numFmtId="0" fontId="3" fillId="8" borderId="1" xfId="0" applyFont="1" applyFill="1" applyBorder="1"/>
    <xf numFmtId="3" fontId="1" fillId="8" borderId="8" xfId="0" applyNumberFormat="1" applyFont="1" applyFill="1" applyBorder="1" applyAlignment="1"/>
    <xf numFmtId="0" fontId="4" fillId="8" borderId="1" xfId="0" applyFont="1" applyFill="1" applyBorder="1" applyAlignment="1">
      <alignment horizontal="left" wrapText="1"/>
    </xf>
    <xf numFmtId="3" fontId="3" fillId="8" borderId="20" xfId="0" applyNumberFormat="1" applyFont="1" applyFill="1" applyBorder="1" applyAlignment="1">
      <alignment horizontal="right" wrapText="1"/>
    </xf>
    <xf numFmtId="3" fontId="1" fillId="8" borderId="20" xfId="0" applyNumberFormat="1" applyFont="1" applyFill="1" applyBorder="1"/>
    <xf numFmtId="49" fontId="2" fillId="8" borderId="20" xfId="0" applyNumberFormat="1" applyFont="1" applyFill="1" applyBorder="1" applyAlignment="1">
      <alignment horizontal="center"/>
    </xf>
    <xf numFmtId="3" fontId="1" fillId="8" borderId="18" xfId="0" applyNumberFormat="1" applyFont="1" applyFill="1" applyBorder="1" applyAlignment="1"/>
    <xf numFmtId="4" fontId="1" fillId="8" borderId="21" xfId="0" applyNumberFormat="1" applyFont="1" applyFill="1" applyBorder="1" applyAlignment="1"/>
    <xf numFmtId="0" fontId="8" fillId="5" borderId="1" xfId="0" applyFont="1" applyFill="1" applyBorder="1"/>
    <xf numFmtId="3" fontId="1" fillId="11" borderId="8" xfId="0" applyNumberFormat="1" applyFont="1" applyFill="1" applyBorder="1"/>
    <xf numFmtId="4" fontId="1" fillId="11" borderId="3" xfId="0" applyNumberFormat="1" applyFont="1" applyFill="1" applyBorder="1" applyAlignment="1"/>
    <xf numFmtId="4" fontId="1" fillId="11" borderId="4" xfId="0" applyNumberFormat="1" applyFont="1" applyFill="1" applyBorder="1"/>
    <xf numFmtId="0" fontId="1" fillId="10" borderId="1" xfId="0" applyFont="1" applyFill="1" applyBorder="1"/>
    <xf numFmtId="0" fontId="1" fillId="10" borderId="1" xfId="0" applyFont="1" applyFill="1" applyBorder="1" applyAlignment="1"/>
    <xf numFmtId="49" fontId="7" fillId="0" borderId="0" xfId="0" applyNumberFormat="1" applyFont="1" applyAlignment="1">
      <alignment horizontal="center"/>
    </xf>
    <xf numFmtId="4" fontId="3" fillId="0" borderId="0" xfId="0" applyNumberFormat="1" applyFont="1"/>
    <xf numFmtId="164" fontId="3" fillId="8" borderId="1" xfId="0" applyNumberFormat="1" applyFont="1" applyFill="1" applyBorder="1"/>
    <xf numFmtId="0" fontId="8" fillId="8" borderId="1" xfId="0" applyFont="1" applyFill="1" applyBorder="1"/>
    <xf numFmtId="4" fontId="3" fillId="8" borderId="4" xfId="0" applyNumberFormat="1" applyFont="1" applyFill="1" applyBorder="1"/>
    <xf numFmtId="3" fontId="3" fillId="8" borderId="4" xfId="0" applyNumberFormat="1" applyFont="1" applyFill="1" applyBorder="1" applyAlignment="1"/>
    <xf numFmtId="0" fontId="7" fillId="4" borderId="1" xfId="0" applyFont="1" applyFill="1" applyBorder="1" applyAlignment="1"/>
    <xf numFmtId="0" fontId="8" fillId="4" borderId="1" xfId="0" applyFont="1" applyFill="1" applyBorder="1" applyAlignment="1"/>
    <xf numFmtId="0" fontId="3" fillId="4" borderId="1" xfId="0" applyFont="1" applyFill="1" applyBorder="1" applyAlignment="1">
      <alignment wrapText="1"/>
    </xf>
    <xf numFmtId="0" fontId="4" fillId="15" borderId="1" xfId="0" applyFont="1" applyFill="1" applyBorder="1" applyAlignment="1">
      <alignment horizontal="left" wrapText="1"/>
    </xf>
    <xf numFmtId="3" fontId="4" fillId="15" borderId="10" xfId="0" applyNumberFormat="1" applyFont="1" applyFill="1" applyBorder="1" applyAlignment="1">
      <alignment horizontal="right" wrapText="1"/>
    </xf>
    <xf numFmtId="49" fontId="4" fillId="15" borderId="10" xfId="0" applyNumberFormat="1" applyFont="1" applyFill="1" applyBorder="1" applyAlignment="1">
      <alignment horizontal="center" wrapText="1"/>
    </xf>
    <xf numFmtId="3" fontId="4" fillId="15" borderId="11" xfId="0" applyNumberFormat="1" applyFont="1" applyFill="1" applyBorder="1" applyAlignment="1">
      <alignment horizontal="right" wrapText="1"/>
    </xf>
    <xf numFmtId="0" fontId="1" fillId="15" borderId="1" xfId="0" applyFont="1" applyFill="1" applyBorder="1"/>
    <xf numFmtId="0" fontId="4" fillId="5" borderId="1" xfId="0" applyFont="1" applyFill="1" applyBorder="1" applyAlignment="1">
      <alignment horizontal="left" wrapText="1"/>
    </xf>
    <xf numFmtId="3" fontId="4" fillId="5" borderId="10" xfId="0" applyNumberFormat="1" applyFont="1" applyFill="1" applyBorder="1" applyAlignment="1">
      <alignment horizontal="right" wrapText="1"/>
    </xf>
    <xf numFmtId="49" fontId="4" fillId="5" borderId="10" xfId="0" applyNumberFormat="1" applyFont="1" applyFill="1" applyBorder="1" applyAlignment="1">
      <alignment horizontal="center" wrapText="1"/>
    </xf>
    <xf numFmtId="3" fontId="4" fillId="5" borderId="22" xfId="0" applyNumberFormat="1" applyFont="1" applyFill="1" applyBorder="1" applyAlignment="1">
      <alignment horizontal="right" wrapText="1"/>
    </xf>
    <xf numFmtId="165" fontId="3" fillId="0" borderId="0" xfId="0" applyNumberFormat="1" applyFont="1" applyAlignment="1">
      <alignment wrapText="1"/>
    </xf>
    <xf numFmtId="4" fontId="0" fillId="0" borderId="0" xfId="0" applyNumberFormat="1" applyFont="1"/>
    <xf numFmtId="0" fontId="0" fillId="0" borderId="0" xfId="0" applyFont="1"/>
    <xf numFmtId="0" fontId="2" fillId="0" borderId="0" xfId="0" applyFont="1" applyAlignment="1">
      <alignment horizontal="center" vertical="top"/>
    </xf>
    <xf numFmtId="0" fontId="8" fillId="9" borderId="1" xfId="0" applyFont="1" applyFill="1" applyBorder="1"/>
    <xf numFmtId="0" fontId="5" fillId="0" borderId="0" xfId="0" applyFont="1" applyAlignment="1">
      <alignment horizontal="right"/>
    </xf>
    <xf numFmtId="4" fontId="14" fillId="0" borderId="0" xfId="0" applyNumberFormat="1" applyFont="1"/>
    <xf numFmtId="164" fontId="5" fillId="0" borderId="0" xfId="0" applyNumberFormat="1" applyFont="1"/>
    <xf numFmtId="3" fontId="1" fillId="9" borderId="11" xfId="0" applyNumberFormat="1" applyFont="1" applyFill="1" applyBorder="1"/>
    <xf numFmtId="164" fontId="1" fillId="9" borderId="10" xfId="0" applyNumberFormat="1" applyFont="1" applyFill="1" applyBorder="1"/>
    <xf numFmtId="0" fontId="3" fillId="9" borderId="1" xfId="0" applyFont="1" applyFill="1" applyBorder="1"/>
    <xf numFmtId="0" fontId="8" fillId="4" borderId="1" xfId="0" applyFont="1" applyFill="1" applyBorder="1"/>
    <xf numFmtId="0" fontId="12" fillId="0" borderId="0" xfId="0" applyFont="1"/>
    <xf numFmtId="4" fontId="9" fillId="0" borderId="0" xfId="0" applyNumberFormat="1" applyFont="1"/>
    <xf numFmtId="4" fontId="8" fillId="9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wrapText="1"/>
    </xf>
    <xf numFmtId="166" fontId="3" fillId="0" borderId="0" xfId="0" applyNumberFormat="1" applyFont="1" applyAlignment="1">
      <alignment wrapText="1"/>
    </xf>
    <xf numFmtId="166" fontId="1" fillId="0" borderId="0" xfId="0" applyNumberFormat="1" applyFont="1"/>
    <xf numFmtId="0" fontId="1" fillId="2" borderId="1" xfId="0" applyFont="1" applyFill="1" applyBorder="1"/>
    <xf numFmtId="166" fontId="3" fillId="4" borderId="1" xfId="0" applyNumberFormat="1" applyFont="1" applyFill="1" applyBorder="1" applyAlignment="1">
      <alignment wrapText="1"/>
    </xf>
    <xf numFmtId="166" fontId="1" fillId="4" borderId="1" xfId="0" applyNumberFormat="1" applyFont="1" applyFill="1" applyBorder="1"/>
    <xf numFmtId="166" fontId="3" fillId="0" borderId="0" xfId="0" applyNumberFormat="1" applyFont="1" applyAlignment="1">
      <alignment horizontal="right" wrapText="1"/>
    </xf>
    <xf numFmtId="166" fontId="4" fillId="3" borderId="10" xfId="0" applyNumberFormat="1" applyFont="1" applyFill="1" applyBorder="1" applyAlignment="1">
      <alignment horizontal="right" wrapText="1"/>
    </xf>
    <xf numFmtId="166" fontId="3" fillId="3" borderId="1" xfId="0" applyNumberFormat="1" applyFont="1" applyFill="1" applyBorder="1" applyAlignment="1">
      <alignment horizontal="right" wrapText="1"/>
    </xf>
    <xf numFmtId="166" fontId="3" fillId="3" borderId="1" xfId="0" applyNumberFormat="1" applyFont="1" applyFill="1" applyBorder="1" applyAlignment="1">
      <alignment wrapText="1"/>
    </xf>
    <xf numFmtId="166" fontId="3" fillId="4" borderId="1" xfId="0" applyNumberFormat="1" applyFont="1" applyFill="1" applyBorder="1" applyAlignment="1">
      <alignment horizontal="right" wrapText="1"/>
    </xf>
    <xf numFmtId="166" fontId="6" fillId="4" borderId="1" xfId="0" applyNumberFormat="1" applyFont="1" applyFill="1" applyBorder="1" applyAlignment="1">
      <alignment horizontal="right" wrapText="1"/>
    </xf>
    <xf numFmtId="166" fontId="6" fillId="4" borderId="1" xfId="0" applyNumberFormat="1" applyFont="1" applyFill="1" applyBorder="1" applyAlignment="1">
      <alignment wrapText="1"/>
    </xf>
    <xf numFmtId="166" fontId="5" fillId="4" borderId="1" xfId="0" applyNumberFormat="1" applyFont="1" applyFill="1" applyBorder="1"/>
    <xf numFmtId="0" fontId="5" fillId="2" borderId="1" xfId="0" applyFont="1" applyFill="1" applyBorder="1"/>
    <xf numFmtId="166" fontId="6" fillId="0" borderId="0" xfId="0" applyNumberFormat="1" applyFont="1" applyAlignment="1">
      <alignment wrapText="1"/>
    </xf>
    <xf numFmtId="166" fontId="6" fillId="0" borderId="0" xfId="0" applyNumberFormat="1" applyFont="1" applyAlignment="1">
      <alignment horizontal="right" wrapText="1"/>
    </xf>
    <xf numFmtId="166" fontId="5" fillId="0" borderId="0" xfId="0" applyNumberFormat="1" applyFont="1"/>
    <xf numFmtId="166" fontId="3" fillId="4" borderId="10" xfId="0" applyNumberFormat="1" applyFont="1" applyFill="1" applyBorder="1" applyAlignment="1">
      <alignment horizontal="right" wrapText="1"/>
    </xf>
    <xf numFmtId="166" fontId="4" fillId="6" borderId="10" xfId="0" applyNumberFormat="1" applyFont="1" applyFill="1" applyBorder="1" applyAlignment="1">
      <alignment horizontal="right" wrapText="1"/>
    </xf>
    <xf numFmtId="166" fontId="4" fillId="0" borderId="13" xfId="0" applyNumberFormat="1" applyFont="1" applyBorder="1" applyAlignment="1">
      <alignment horizontal="right" wrapText="1"/>
    </xf>
    <xf numFmtId="166" fontId="4" fillId="7" borderId="10" xfId="0" applyNumberFormat="1" applyFont="1" applyFill="1" applyBorder="1" applyAlignment="1">
      <alignment horizontal="right" wrapText="1"/>
    </xf>
    <xf numFmtId="166" fontId="3" fillId="8" borderId="1" xfId="0" applyNumberFormat="1" applyFont="1" applyFill="1" applyBorder="1" applyAlignment="1">
      <alignment horizontal="right" wrapText="1"/>
    </xf>
    <xf numFmtId="166" fontId="1" fillId="8" borderId="1" xfId="0" applyNumberFormat="1" applyFont="1" applyFill="1" applyBorder="1"/>
    <xf numFmtId="166" fontId="3" fillId="8" borderId="1" xfId="0" applyNumberFormat="1" applyFont="1" applyFill="1" applyBorder="1" applyAlignment="1">
      <alignment wrapText="1"/>
    </xf>
    <xf numFmtId="166" fontId="3" fillId="9" borderId="1" xfId="0" applyNumberFormat="1" applyFont="1" applyFill="1" applyBorder="1" applyAlignment="1">
      <alignment wrapText="1"/>
    </xf>
    <xf numFmtId="166" fontId="1" fillId="9" borderId="1" xfId="0" applyNumberFormat="1" applyFont="1" applyFill="1" applyBorder="1"/>
    <xf numFmtId="166" fontId="3" fillId="9" borderId="1" xfId="0" applyNumberFormat="1" applyFont="1" applyFill="1" applyBorder="1" applyAlignment="1">
      <alignment horizontal="right" wrapText="1"/>
    </xf>
    <xf numFmtId="166" fontId="3" fillId="9" borderId="10" xfId="0" applyNumberFormat="1" applyFont="1" applyFill="1" applyBorder="1" applyAlignment="1">
      <alignment horizontal="right" wrapText="1"/>
    </xf>
    <xf numFmtId="166" fontId="4" fillId="8" borderId="10" xfId="0" applyNumberFormat="1" applyFont="1" applyFill="1" applyBorder="1" applyAlignment="1">
      <alignment horizontal="right" wrapText="1"/>
    </xf>
    <xf numFmtId="166" fontId="4" fillId="9" borderId="10" xfId="0" applyNumberFormat="1" applyFont="1" applyFill="1" applyBorder="1" applyAlignment="1">
      <alignment horizontal="right" wrapText="1"/>
    </xf>
    <xf numFmtId="166" fontId="3" fillId="0" borderId="13" xfId="0" applyNumberFormat="1" applyFont="1" applyBorder="1" applyAlignment="1">
      <alignment horizontal="right" wrapText="1"/>
    </xf>
    <xf numFmtId="166" fontId="4" fillId="14" borderId="10" xfId="0" applyNumberFormat="1" applyFont="1" applyFill="1" applyBorder="1" applyAlignment="1">
      <alignment horizontal="right" wrapText="1"/>
    </xf>
    <xf numFmtId="166" fontId="4" fillId="15" borderId="10" xfId="0" applyNumberFormat="1" applyFont="1" applyFill="1" applyBorder="1" applyAlignment="1">
      <alignment horizontal="right" wrapText="1"/>
    </xf>
    <xf numFmtId="166" fontId="4" fillId="5" borderId="10" xfId="0" applyNumberFormat="1" applyFont="1" applyFill="1" applyBorder="1" applyAlignment="1">
      <alignment horizontal="right"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/>
    </xf>
    <xf numFmtId="0" fontId="0" fillId="0" borderId="0" xfId="0" applyFont="1" applyAlignment="1"/>
    <xf numFmtId="3" fontId="4" fillId="7" borderId="2" xfId="0" applyNumberFormat="1" applyFont="1" applyFill="1" applyBorder="1" applyAlignment="1">
      <alignment horizontal="right" wrapText="1"/>
    </xf>
    <xf numFmtId="0" fontId="17" fillId="9" borderId="1" xfId="0" applyFont="1" applyFill="1" applyBorder="1" applyAlignment="1">
      <alignment horizontal="left" wrapText="1"/>
    </xf>
    <xf numFmtId="3" fontId="4" fillId="8" borderId="23" xfId="0" applyNumberFormat="1" applyFont="1" applyFill="1" applyBorder="1" applyAlignment="1">
      <alignment horizontal="right" wrapText="1"/>
    </xf>
    <xf numFmtId="4" fontId="4" fillId="8" borderId="24" xfId="0" applyNumberFormat="1" applyFont="1" applyFill="1" applyBorder="1" applyAlignment="1">
      <alignment horizontal="right" wrapText="1"/>
    </xf>
    <xf numFmtId="4" fontId="4" fillId="8" borderId="23" xfId="0" applyNumberFormat="1" applyFont="1" applyFill="1" applyBorder="1" applyAlignment="1">
      <alignment horizontal="right" wrapText="1"/>
    </xf>
    <xf numFmtId="3" fontId="3" fillId="9" borderId="23" xfId="0" applyNumberFormat="1" applyFont="1" applyFill="1" applyBorder="1" applyAlignment="1">
      <alignment horizontal="right" wrapText="1"/>
    </xf>
    <xf numFmtId="4" fontId="3" fillId="9" borderId="24" xfId="0" applyNumberFormat="1" applyFont="1" applyFill="1" applyBorder="1" applyAlignment="1">
      <alignment horizontal="right" wrapText="1"/>
    </xf>
    <xf numFmtId="4" fontId="3" fillId="9" borderId="23" xfId="0" applyNumberFormat="1" applyFont="1" applyFill="1" applyBorder="1" applyAlignment="1">
      <alignment horizontal="right" wrapText="1"/>
    </xf>
    <xf numFmtId="3" fontId="4" fillId="14" borderId="23" xfId="0" applyNumberFormat="1" applyFont="1" applyFill="1" applyBorder="1" applyAlignment="1">
      <alignment horizontal="right" wrapText="1"/>
    </xf>
    <xf numFmtId="4" fontId="4" fillId="14" borderId="24" xfId="0" applyNumberFormat="1" applyFont="1" applyFill="1" applyBorder="1" applyAlignment="1">
      <alignment horizontal="right" wrapText="1"/>
    </xf>
    <xf numFmtId="4" fontId="4" fillId="14" borderId="23" xfId="0" applyNumberFormat="1" applyFont="1" applyFill="1" applyBorder="1" applyAlignment="1">
      <alignment horizontal="right" wrapText="1"/>
    </xf>
    <xf numFmtId="3" fontId="1" fillId="0" borderId="18" xfId="0" applyNumberFormat="1" applyFont="1" applyBorder="1"/>
    <xf numFmtId="4" fontId="1" fillId="0" borderId="21" xfId="0" applyNumberFormat="1" applyFont="1" applyBorder="1" applyAlignment="1"/>
    <xf numFmtId="4" fontId="1" fillId="0" borderId="18" xfId="0" applyNumberFormat="1" applyFont="1" applyBorder="1"/>
    <xf numFmtId="3" fontId="1" fillId="8" borderId="18" xfId="0" applyNumberFormat="1" applyFont="1" applyFill="1" applyBorder="1"/>
    <xf numFmtId="4" fontId="1" fillId="8" borderId="18" xfId="0" applyNumberFormat="1" applyFont="1" applyFill="1" applyBorder="1"/>
    <xf numFmtId="4" fontId="1" fillId="8" borderId="21" xfId="0" applyNumberFormat="1" applyFont="1" applyFill="1" applyBorder="1"/>
    <xf numFmtId="3" fontId="1" fillId="4" borderId="18" xfId="0" applyNumberFormat="1" applyFont="1" applyFill="1" applyBorder="1"/>
    <xf numFmtId="4" fontId="1" fillId="4" borderId="21" xfId="0" applyNumberFormat="1" applyFont="1" applyFill="1" applyBorder="1"/>
    <xf numFmtId="3" fontId="1" fillId="0" borderId="18" xfId="0" applyNumberFormat="1" applyFont="1" applyBorder="1" applyAlignment="1"/>
    <xf numFmtId="4" fontId="4" fillId="8" borderId="25" xfId="0" applyNumberFormat="1" applyFont="1" applyFill="1" applyBorder="1" applyAlignment="1">
      <alignment horizontal="right" wrapText="1"/>
    </xf>
    <xf numFmtId="4" fontId="1" fillId="0" borderId="18" xfId="0" applyNumberFormat="1" applyFont="1" applyBorder="1" applyAlignment="1"/>
    <xf numFmtId="4" fontId="1" fillId="0" borderId="21" xfId="0" applyNumberFormat="1" applyFont="1" applyBorder="1"/>
    <xf numFmtId="3" fontId="4" fillId="5" borderId="26" xfId="0" applyNumberFormat="1" applyFont="1" applyFill="1" applyBorder="1" applyAlignment="1">
      <alignment horizontal="right" wrapText="1"/>
    </xf>
    <xf numFmtId="4" fontId="4" fillId="5" borderId="27" xfId="0" applyNumberFormat="1" applyFont="1" applyFill="1" applyBorder="1" applyAlignment="1">
      <alignment horizontal="right" wrapText="1"/>
    </xf>
    <xf numFmtId="4" fontId="4" fillId="5" borderId="26" xfId="0" applyNumberFormat="1" applyFont="1" applyFill="1" applyBorder="1" applyAlignment="1">
      <alignment horizontal="right" wrapText="1"/>
    </xf>
    <xf numFmtId="3" fontId="4" fillId="15" borderId="2" xfId="0" applyNumberFormat="1" applyFont="1" applyFill="1" applyBorder="1" applyAlignment="1">
      <alignment horizontal="right" wrapText="1"/>
    </xf>
    <xf numFmtId="4" fontId="4" fillId="15" borderId="28" xfId="0" applyNumberFormat="1" applyFont="1" applyFill="1" applyBorder="1" applyAlignment="1">
      <alignment horizontal="right" wrapText="1"/>
    </xf>
    <xf numFmtId="4" fontId="4" fillId="15" borderId="2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5"/>
  <sheetViews>
    <sheetView tabSelected="1" workbookViewId="0">
      <pane xSplit="1" ySplit="2" topLeftCell="K3" activePane="bottomRight" state="frozen"/>
      <selection pane="topRight" activeCell="B1" sqref="B1"/>
      <selection pane="bottomLeft" activeCell="A3" sqref="A3"/>
      <selection pane="bottomRight" activeCell="K2" sqref="K2"/>
    </sheetView>
  </sheetViews>
  <sheetFormatPr defaultColWidth="12.625" defaultRowHeight="15" customHeight="1" x14ac:dyDescent="0.2"/>
  <cols>
    <col min="1" max="1" width="41" customWidth="1"/>
    <col min="2" max="6" width="10.75" hidden="1" customWidth="1"/>
    <col min="7" max="7" width="12.375" hidden="1" customWidth="1"/>
    <col min="8" max="8" width="10.25" hidden="1" customWidth="1"/>
    <col min="9" max="9" width="13.625" hidden="1" customWidth="1"/>
    <col min="10" max="10" width="13" hidden="1" customWidth="1"/>
    <col min="11" max="14" width="13.125" customWidth="1"/>
    <col min="15" max="15" width="9.375" hidden="1" customWidth="1"/>
    <col min="16" max="16" width="12.125" hidden="1" customWidth="1"/>
    <col min="17" max="17" width="9.25" hidden="1" customWidth="1"/>
    <col min="18" max="18" width="6.75" hidden="1" customWidth="1"/>
    <col min="19" max="19" width="10.5" hidden="1" customWidth="1"/>
    <col min="20" max="31" width="7.625" hidden="1" customWidth="1"/>
  </cols>
  <sheetData>
    <row r="1" spans="1:31" ht="31.5" x14ac:dyDescent="0.25">
      <c r="A1" s="1"/>
      <c r="B1" s="1"/>
      <c r="C1" s="1"/>
      <c r="D1" s="1"/>
      <c r="E1" s="1"/>
      <c r="F1" s="2" t="s">
        <v>0</v>
      </c>
      <c r="G1" s="3" t="s">
        <v>1</v>
      </c>
      <c r="H1" s="4" t="s">
        <v>2</v>
      </c>
      <c r="I1" s="5" t="s">
        <v>3</v>
      </c>
      <c r="J1" s="6" t="s">
        <v>4</v>
      </c>
      <c r="K1" s="7" t="s">
        <v>5</v>
      </c>
      <c r="L1" s="8" t="s">
        <v>6</v>
      </c>
      <c r="M1" s="9" t="s">
        <v>7</v>
      </c>
      <c r="N1" s="10" t="s">
        <v>8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47.25" x14ac:dyDescent="0.25">
      <c r="A2" s="11"/>
      <c r="B2" s="12" t="s">
        <v>9</v>
      </c>
      <c r="C2" s="12" t="s">
        <v>10</v>
      </c>
      <c r="D2" s="12" t="s">
        <v>11</v>
      </c>
      <c r="E2" s="12" t="s">
        <v>12</v>
      </c>
      <c r="F2" s="12" t="s">
        <v>13</v>
      </c>
      <c r="G2" s="12" t="s">
        <v>14</v>
      </c>
      <c r="H2" s="12" t="s">
        <v>15</v>
      </c>
      <c r="I2" s="13" t="s">
        <v>16</v>
      </c>
      <c r="J2" s="14" t="s">
        <v>17</v>
      </c>
      <c r="K2" s="15" t="s">
        <v>18</v>
      </c>
      <c r="L2" s="16" t="s">
        <v>19</v>
      </c>
      <c r="M2" s="17" t="s">
        <v>20</v>
      </c>
      <c r="N2" s="18" t="s">
        <v>21</v>
      </c>
      <c r="O2" s="19" t="s">
        <v>22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.75" x14ac:dyDescent="0.25">
      <c r="A3" s="20" t="s">
        <v>23</v>
      </c>
      <c r="B3" s="21"/>
      <c r="C3" s="21"/>
      <c r="D3" s="21"/>
      <c r="E3" s="21"/>
      <c r="F3" s="22"/>
      <c r="G3" s="21"/>
      <c r="H3" s="22"/>
      <c r="I3" s="22"/>
      <c r="J3" s="23"/>
      <c r="K3" s="24"/>
      <c r="L3" s="25"/>
      <c r="M3" s="26"/>
      <c r="N3" s="2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75" x14ac:dyDescent="0.25">
      <c r="A4" s="27" t="s">
        <v>24</v>
      </c>
      <c r="B4" s="28"/>
      <c r="C4" s="28"/>
      <c r="D4" s="28"/>
      <c r="E4" s="28"/>
      <c r="F4" s="28"/>
      <c r="G4" s="28"/>
      <c r="H4" s="28"/>
      <c r="I4" s="29"/>
      <c r="J4" s="30" t="s">
        <v>25</v>
      </c>
      <c r="K4" s="31">
        <v>33757</v>
      </c>
      <c r="L4" s="32">
        <v>33756.83</v>
      </c>
      <c r="M4" s="33">
        <f>L4</f>
        <v>33756.83</v>
      </c>
      <c r="N4" s="34">
        <f>L332</f>
        <v>19444.119999999995</v>
      </c>
      <c r="O4" s="35" t="s">
        <v>26</v>
      </c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</row>
    <row r="5" spans="1:31" ht="15.75" x14ac:dyDescent="0.25">
      <c r="A5" s="27" t="s">
        <v>27</v>
      </c>
      <c r="B5" s="29">
        <f>236200.04</f>
        <v>236200.04</v>
      </c>
      <c r="C5" s="29">
        <f>246451.31</f>
        <v>246451.31</v>
      </c>
      <c r="D5" s="29">
        <f>259618.66</f>
        <v>259618.66</v>
      </c>
      <c r="E5" s="29">
        <f>255282.23</f>
        <v>255282.23</v>
      </c>
      <c r="F5" s="29">
        <f>249416.3</f>
        <v>249416.3</v>
      </c>
      <c r="G5" s="29">
        <f>248643.19</f>
        <v>248643.19</v>
      </c>
      <c r="H5" s="29">
        <f t="shared" ref="H5:H6" si="0">G5</f>
        <v>248643.19</v>
      </c>
      <c r="I5" s="29">
        <f>262600</f>
        <v>262600</v>
      </c>
      <c r="J5" s="30" t="s">
        <v>28</v>
      </c>
      <c r="K5" s="37">
        <f>((H5*1.08)/12*8)+(H5/12*4)</f>
        <v>261904.16013333335</v>
      </c>
      <c r="L5" s="38">
        <v>254013.43</v>
      </c>
      <c r="M5" s="33">
        <f>L5/11.5*12</f>
        <v>265057.49217391305</v>
      </c>
      <c r="N5" s="34">
        <f>(M5/12)*1.03*12</f>
        <v>273009.21693913045</v>
      </c>
      <c r="O5" s="39" t="s">
        <v>29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</row>
    <row r="6" spans="1:31" ht="15.75" customHeight="1" x14ac:dyDescent="0.25">
      <c r="A6" s="27" t="s">
        <v>30</v>
      </c>
      <c r="B6" s="40"/>
      <c r="C6" s="40"/>
      <c r="D6" s="40"/>
      <c r="E6" s="40"/>
      <c r="F6" s="41">
        <f t="shared" ref="F6:G6" si="1">30400</f>
        <v>30400</v>
      </c>
      <c r="G6" s="41">
        <f t="shared" si="1"/>
        <v>30400</v>
      </c>
      <c r="H6" s="42">
        <f t="shared" si="0"/>
        <v>30400</v>
      </c>
      <c r="I6" s="42"/>
      <c r="J6" s="30"/>
      <c r="K6" s="37">
        <v>0</v>
      </c>
      <c r="L6" s="43"/>
      <c r="M6" s="44"/>
      <c r="N6" s="45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1:31" ht="15.75" customHeight="1" x14ac:dyDescent="0.25">
      <c r="A7" s="46" t="s">
        <v>31</v>
      </c>
      <c r="B7" s="47">
        <f>250.63</f>
        <v>250.63</v>
      </c>
      <c r="C7" s="47">
        <f>1432.5</f>
        <v>1432.5</v>
      </c>
      <c r="D7" s="47">
        <f>1540.67</f>
        <v>1540.67</v>
      </c>
      <c r="E7" s="47">
        <f>100.1</f>
        <v>100.1</v>
      </c>
      <c r="F7" s="47">
        <f>0.04</f>
        <v>0.04</v>
      </c>
      <c r="G7" s="21"/>
      <c r="H7" s="22"/>
      <c r="I7" s="22"/>
      <c r="J7" s="23"/>
      <c r="K7" s="24"/>
      <c r="L7" s="25"/>
      <c r="M7" s="26"/>
      <c r="N7" s="2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75" customHeight="1" x14ac:dyDescent="0.25">
      <c r="A8" s="48" t="s">
        <v>32</v>
      </c>
      <c r="B8" s="49"/>
      <c r="C8" s="50">
        <f>354.09</f>
        <v>354.09</v>
      </c>
      <c r="D8" s="49"/>
      <c r="E8" s="50">
        <f>884.09</f>
        <v>884.09</v>
      </c>
      <c r="F8" s="50">
        <f>911.49</f>
        <v>911.49</v>
      </c>
      <c r="G8" s="50">
        <f>441.56</f>
        <v>441.56</v>
      </c>
      <c r="H8" s="50">
        <f>G8</f>
        <v>441.56</v>
      </c>
      <c r="I8" s="50">
        <f>850</f>
        <v>850</v>
      </c>
      <c r="J8" s="23" t="s">
        <v>33</v>
      </c>
      <c r="K8" s="24">
        <v>500</v>
      </c>
      <c r="L8" s="51">
        <v>1114.5899999999999</v>
      </c>
      <c r="M8" s="52">
        <f>L8/11.5*12</f>
        <v>1163.0504347826086</v>
      </c>
      <c r="N8" s="24">
        <v>750</v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</row>
    <row r="9" spans="1:31" ht="15.75" customHeight="1" x14ac:dyDescent="0.25">
      <c r="A9" s="48" t="s">
        <v>34</v>
      </c>
      <c r="B9" s="50">
        <f>-143.89</f>
        <v>-143.88999999999999</v>
      </c>
      <c r="C9" s="49"/>
      <c r="D9" s="50">
        <f>208.76</f>
        <v>208.76</v>
      </c>
      <c r="E9" s="50">
        <f>260</f>
        <v>260</v>
      </c>
      <c r="F9" s="50">
        <f>52</f>
        <v>52</v>
      </c>
      <c r="G9" s="49"/>
      <c r="H9" s="50"/>
      <c r="I9" s="50">
        <f>208</f>
        <v>208</v>
      </c>
      <c r="J9" s="23" t="s">
        <v>33</v>
      </c>
      <c r="K9" s="24">
        <f>K307</f>
        <v>250</v>
      </c>
      <c r="L9" s="25"/>
      <c r="M9" s="26"/>
      <c r="N9" s="24"/>
      <c r="O9" s="53" t="s">
        <v>35</v>
      </c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</row>
    <row r="10" spans="1:31" ht="15.75" customHeight="1" x14ac:dyDescent="0.25">
      <c r="A10" s="46" t="s">
        <v>36</v>
      </c>
      <c r="B10" s="50">
        <f>35482.06</f>
        <v>35482.06</v>
      </c>
      <c r="C10" s="50">
        <f>34395.41</f>
        <v>34395.410000000003</v>
      </c>
      <c r="D10" s="50">
        <f>39807.35</f>
        <v>39807.35</v>
      </c>
      <c r="E10" s="50">
        <f>47927.31</f>
        <v>47927.31</v>
      </c>
      <c r="F10" s="50">
        <f>33790.88</f>
        <v>33790.879999999997</v>
      </c>
      <c r="G10" s="50">
        <f>34778.17</f>
        <v>34778.17</v>
      </c>
      <c r="H10" s="50">
        <f t="shared" ref="H10:H11" si="2">G10</f>
        <v>34778.17</v>
      </c>
      <c r="I10" s="50">
        <f>55000</f>
        <v>55000</v>
      </c>
      <c r="J10" s="23" t="s">
        <v>28</v>
      </c>
      <c r="K10" s="24">
        <f>1000*52</f>
        <v>52000</v>
      </c>
      <c r="L10" s="51">
        <v>46670.25</v>
      </c>
      <c r="M10" s="52">
        <f t="shared" ref="M10:M11" si="3">L10/11.5*12</f>
        <v>48699.391304347824</v>
      </c>
      <c r="N10" s="24">
        <f>1000*52</f>
        <v>52000</v>
      </c>
      <c r="O10" s="54" t="s">
        <v>37</v>
      </c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</row>
    <row r="11" spans="1:31" ht="15.75" customHeight="1" x14ac:dyDescent="0.25">
      <c r="A11" s="48" t="s">
        <v>38</v>
      </c>
      <c r="B11" s="50">
        <f>2370.23</f>
        <v>2370.23</v>
      </c>
      <c r="C11" s="50">
        <f>1847.19</f>
        <v>1847.19</v>
      </c>
      <c r="D11" s="50">
        <f>1456.59</f>
        <v>1456.59</v>
      </c>
      <c r="E11" s="50">
        <f>1803.81</f>
        <v>1803.81</v>
      </c>
      <c r="F11" s="50">
        <f>1867.21</f>
        <v>1867.21</v>
      </c>
      <c r="G11" s="50">
        <f>1270.39</f>
        <v>1270.3900000000001</v>
      </c>
      <c r="H11" s="50">
        <f t="shared" si="2"/>
        <v>1270.3900000000001</v>
      </c>
      <c r="I11" s="50">
        <f>2100</f>
        <v>2100</v>
      </c>
      <c r="J11" s="23" t="s">
        <v>28</v>
      </c>
      <c r="K11" s="24">
        <v>1500</v>
      </c>
      <c r="L11" s="51">
        <v>1109.53</v>
      </c>
      <c r="M11" s="52">
        <f t="shared" si="3"/>
        <v>1157.7704347826086</v>
      </c>
      <c r="N11" s="24">
        <v>1000</v>
      </c>
      <c r="O11" s="53" t="s">
        <v>39</v>
      </c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</row>
    <row r="12" spans="1:31" ht="15.75" hidden="1" customHeight="1" x14ac:dyDescent="0.25">
      <c r="A12" s="48" t="s">
        <v>40</v>
      </c>
      <c r="B12" s="50">
        <f>10000</f>
        <v>10000</v>
      </c>
      <c r="C12" s="49"/>
      <c r="D12" s="49"/>
      <c r="E12" s="49"/>
      <c r="F12" s="55"/>
      <c r="G12" s="49"/>
      <c r="H12" s="50">
        <f>(G12/9)*12</f>
        <v>0</v>
      </c>
      <c r="I12" s="50"/>
      <c r="J12" s="23"/>
      <c r="K12" s="24"/>
      <c r="L12" s="25"/>
      <c r="M12" s="26"/>
      <c r="N12" s="24"/>
      <c r="O12" s="56" t="s">
        <v>41</v>
      </c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</row>
    <row r="13" spans="1:31" ht="15.75" customHeight="1" x14ac:dyDescent="0.25">
      <c r="A13" s="48" t="s">
        <v>42</v>
      </c>
      <c r="B13" s="49"/>
      <c r="C13" s="49"/>
      <c r="D13" s="49"/>
      <c r="E13" s="49"/>
      <c r="F13" s="50">
        <f t="shared" ref="F13:G13" si="4">132</f>
        <v>132</v>
      </c>
      <c r="G13" s="50">
        <f t="shared" si="4"/>
        <v>132</v>
      </c>
      <c r="H13" s="50">
        <f>G13</f>
        <v>132</v>
      </c>
      <c r="I13" s="50">
        <f>400</f>
        <v>400</v>
      </c>
      <c r="J13" s="23" t="s">
        <v>25</v>
      </c>
      <c r="K13" s="24">
        <v>120</v>
      </c>
      <c r="L13" s="25"/>
      <c r="M13" s="57"/>
      <c r="N13" s="58">
        <v>120</v>
      </c>
      <c r="O13" s="53" t="s">
        <v>43</v>
      </c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</row>
    <row r="14" spans="1:31" ht="15.75" hidden="1" customHeight="1" x14ac:dyDescent="0.25">
      <c r="A14" s="48" t="s">
        <v>44</v>
      </c>
      <c r="B14" s="50">
        <f>-484.62</f>
        <v>-484.62</v>
      </c>
      <c r="C14" s="50">
        <f>-18608.29</f>
        <v>-18608.29</v>
      </c>
      <c r="D14" s="50">
        <f>-2909.46</f>
        <v>-2909.46</v>
      </c>
      <c r="E14" s="49"/>
      <c r="F14" s="55"/>
      <c r="G14" s="49"/>
      <c r="H14" s="55"/>
      <c r="I14" s="59"/>
      <c r="J14" s="60"/>
      <c r="K14" s="61"/>
      <c r="L14" s="62"/>
      <c r="M14" s="63"/>
      <c r="N14" s="64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</row>
    <row r="15" spans="1:31" ht="15.75" customHeight="1" x14ac:dyDescent="0.25">
      <c r="A15" s="27" t="s">
        <v>45</v>
      </c>
      <c r="B15" s="65">
        <f t="shared" ref="B15:H15" si="5">SUM(B7:B14)</f>
        <v>47474.409999999996</v>
      </c>
      <c r="C15" s="65">
        <f t="shared" si="5"/>
        <v>19420.900000000001</v>
      </c>
      <c r="D15" s="65">
        <f t="shared" si="5"/>
        <v>40103.909999999996</v>
      </c>
      <c r="E15" s="65">
        <f t="shared" si="5"/>
        <v>50975.31</v>
      </c>
      <c r="F15" s="65">
        <f t="shared" si="5"/>
        <v>36753.619999999995</v>
      </c>
      <c r="G15" s="65">
        <f t="shared" si="5"/>
        <v>36622.119999999995</v>
      </c>
      <c r="H15" s="65">
        <f t="shared" si="5"/>
        <v>36622.119999999995</v>
      </c>
      <c r="I15" s="65">
        <f>SUM(I8:I13)</f>
        <v>58558</v>
      </c>
      <c r="J15" s="66"/>
      <c r="K15" s="67">
        <f t="shared" ref="K15:L15" si="6">SUM(K7:K14)</f>
        <v>54370</v>
      </c>
      <c r="L15" s="68">
        <f t="shared" si="6"/>
        <v>48894.369999999995</v>
      </c>
      <c r="M15" s="69">
        <f>SUM(M7:M13)</f>
        <v>51020.212173913038</v>
      </c>
      <c r="N15" s="70">
        <f>SUM(N7:N14)</f>
        <v>53870</v>
      </c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31" ht="15.75" customHeight="1" x14ac:dyDescent="0.25">
      <c r="A16" s="48" t="s">
        <v>46</v>
      </c>
      <c r="B16" s="49"/>
      <c r="C16" s="49"/>
      <c r="D16" s="49"/>
      <c r="E16" s="49"/>
      <c r="F16" s="55"/>
      <c r="G16" s="49"/>
      <c r="H16" s="55"/>
      <c r="I16" s="22"/>
      <c r="J16" s="23"/>
      <c r="K16" s="24"/>
      <c r="L16" s="25"/>
      <c r="M16" s="26"/>
      <c r="N16" s="24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</row>
    <row r="17" spans="1:31" ht="15.75" customHeight="1" x14ac:dyDescent="0.25">
      <c r="A17" s="48" t="s">
        <v>47</v>
      </c>
      <c r="B17" s="50">
        <f>1925</f>
        <v>1925</v>
      </c>
      <c r="C17" s="50">
        <f>3470</f>
        <v>3470</v>
      </c>
      <c r="D17" s="50">
        <f>5036</f>
        <v>5036</v>
      </c>
      <c r="E17" s="50">
        <f>4922.37</f>
        <v>4922.37</v>
      </c>
      <c r="F17" s="50">
        <f>200</f>
        <v>200</v>
      </c>
      <c r="G17" s="49"/>
      <c r="H17" s="50"/>
      <c r="I17" s="50">
        <f>5000</f>
        <v>5000</v>
      </c>
      <c r="J17" s="23" t="s">
        <v>48</v>
      </c>
      <c r="K17" s="24">
        <v>5000</v>
      </c>
      <c r="L17" s="25">
        <v>2225</v>
      </c>
      <c r="M17" s="52">
        <f>L17</f>
        <v>2225</v>
      </c>
      <c r="N17" s="24">
        <f>70*50</f>
        <v>3500</v>
      </c>
      <c r="O17" s="53" t="s">
        <v>49</v>
      </c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</row>
    <row r="18" spans="1:31" ht="15.75" customHeight="1" x14ac:dyDescent="0.25">
      <c r="A18" s="46" t="s">
        <v>50</v>
      </c>
      <c r="B18" s="50">
        <f>496.56</f>
        <v>496.56</v>
      </c>
      <c r="C18" s="50">
        <f>691.53</f>
        <v>691.53</v>
      </c>
      <c r="D18" s="50">
        <f>855.4</f>
        <v>855.4</v>
      </c>
      <c r="E18" s="50">
        <f>819.68</f>
        <v>819.68</v>
      </c>
      <c r="F18" s="50">
        <f>524.3</f>
        <v>524.29999999999995</v>
      </c>
      <c r="G18" s="50">
        <f>456.84</f>
        <v>456.84</v>
      </c>
      <c r="H18" s="50">
        <f>G18</f>
        <v>456.84</v>
      </c>
      <c r="I18" s="50">
        <f>850</f>
        <v>850</v>
      </c>
      <c r="J18" s="23" t="s">
        <v>28</v>
      </c>
      <c r="K18" s="24">
        <v>600</v>
      </c>
      <c r="L18" s="51">
        <v>499.25</v>
      </c>
      <c r="M18" s="52">
        <f>L18/11.5*12</f>
        <v>520.95652173913038</v>
      </c>
      <c r="N18" s="71">
        <v>500</v>
      </c>
      <c r="O18" s="53" t="s">
        <v>51</v>
      </c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</row>
    <row r="19" spans="1:31" ht="15.75" customHeight="1" x14ac:dyDescent="0.25">
      <c r="A19" s="48" t="s">
        <v>52</v>
      </c>
      <c r="B19" s="50">
        <f>20</f>
        <v>20</v>
      </c>
      <c r="C19" s="49"/>
      <c r="D19" s="50">
        <f>10</f>
        <v>10</v>
      </c>
      <c r="E19" s="49"/>
      <c r="F19" s="55"/>
      <c r="G19" s="49"/>
      <c r="H19" s="50"/>
      <c r="I19" s="50"/>
      <c r="J19" s="23"/>
      <c r="K19" s="24"/>
      <c r="L19" s="25"/>
      <c r="M19" s="26"/>
      <c r="N19" s="24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</row>
    <row r="20" spans="1:31" ht="15.75" customHeight="1" x14ac:dyDescent="0.25">
      <c r="A20" s="48" t="s">
        <v>53</v>
      </c>
      <c r="B20" s="50">
        <f>533</f>
        <v>533</v>
      </c>
      <c r="C20" s="50">
        <f>1805</f>
        <v>1805</v>
      </c>
      <c r="D20" s="50">
        <f>100</f>
        <v>100</v>
      </c>
      <c r="E20" s="50">
        <f>200</f>
        <v>200</v>
      </c>
      <c r="F20" s="55"/>
      <c r="G20" s="49">
        <f>250</f>
        <v>250</v>
      </c>
      <c r="H20" s="50">
        <f>G20</f>
        <v>250</v>
      </c>
      <c r="I20" s="50">
        <f>550</f>
        <v>550</v>
      </c>
      <c r="J20" s="23" t="s">
        <v>54</v>
      </c>
      <c r="K20" s="24">
        <f>5*50</f>
        <v>250</v>
      </c>
      <c r="L20" s="51">
        <v>20</v>
      </c>
      <c r="M20" s="26">
        <f t="shared" ref="M20:M21" si="7">L20</f>
        <v>20</v>
      </c>
      <c r="N20" s="24">
        <v>150</v>
      </c>
      <c r="O20" s="53" t="s">
        <v>55</v>
      </c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</row>
    <row r="21" spans="1:31" ht="15.75" customHeight="1" x14ac:dyDescent="0.25">
      <c r="A21" s="48" t="s">
        <v>56</v>
      </c>
      <c r="B21" s="49"/>
      <c r="C21" s="50">
        <f>0</f>
        <v>0</v>
      </c>
      <c r="D21" s="50">
        <f>691.28</f>
        <v>691.28</v>
      </c>
      <c r="E21" s="49"/>
      <c r="F21" s="55"/>
      <c r="G21" s="49"/>
      <c r="H21" s="55"/>
      <c r="I21" s="22"/>
      <c r="J21" s="23"/>
      <c r="K21" s="87"/>
      <c r="L21" s="87">
        <v>366</v>
      </c>
      <c r="M21" s="87">
        <f t="shared" si="7"/>
        <v>366</v>
      </c>
      <c r="N21" s="87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</row>
    <row r="22" spans="1:31" ht="15.75" customHeight="1" x14ac:dyDescent="0.25">
      <c r="A22" s="48" t="s">
        <v>57</v>
      </c>
      <c r="B22" s="49"/>
      <c r="C22" s="50">
        <f>43.5</f>
        <v>43.5</v>
      </c>
      <c r="D22" s="50">
        <f>33.85</f>
        <v>33.85</v>
      </c>
      <c r="E22" s="49"/>
      <c r="F22" s="55"/>
      <c r="G22" s="49"/>
      <c r="H22" s="55"/>
      <c r="I22" s="55"/>
      <c r="J22" s="72"/>
      <c r="K22" s="87"/>
      <c r="L22" s="87"/>
      <c r="M22" s="87"/>
      <c r="N22" s="87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</row>
    <row r="23" spans="1:31" ht="15.75" customHeight="1" x14ac:dyDescent="0.25">
      <c r="A23" s="48" t="s">
        <v>58</v>
      </c>
      <c r="B23" s="50">
        <f>560</f>
        <v>560</v>
      </c>
      <c r="C23" s="50">
        <f>373</f>
        <v>373</v>
      </c>
      <c r="D23" s="50">
        <f>90</f>
        <v>90</v>
      </c>
      <c r="E23" s="50">
        <f>1450</f>
        <v>1450</v>
      </c>
      <c r="F23" s="50">
        <f>2590.01</f>
        <v>2590.0100000000002</v>
      </c>
      <c r="G23" s="50">
        <f>5701.01</f>
        <v>5701.01</v>
      </c>
      <c r="H23" s="55">
        <f t="shared" ref="H23:H24" si="8">G23</f>
        <v>5701.01</v>
      </c>
      <c r="I23" s="55"/>
      <c r="J23" s="72"/>
      <c r="K23" s="87">
        <f>K210</f>
        <v>0</v>
      </c>
      <c r="L23" s="87">
        <v>2929.56</v>
      </c>
      <c r="M23" s="87">
        <f>L23/11.5*12</f>
        <v>3056.9321739130437</v>
      </c>
      <c r="N23" s="87"/>
      <c r="O23" s="53" t="s">
        <v>59</v>
      </c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</row>
    <row r="24" spans="1:31" ht="15.75" customHeight="1" x14ac:dyDescent="0.25">
      <c r="A24" s="48" t="s">
        <v>60</v>
      </c>
      <c r="B24" s="50">
        <f>15</f>
        <v>15</v>
      </c>
      <c r="C24" s="50">
        <f>373.38</f>
        <v>373.38</v>
      </c>
      <c r="D24" s="49"/>
      <c r="E24" s="49"/>
      <c r="F24" s="55"/>
      <c r="G24" s="49">
        <f>2161.98</f>
        <v>2161.98</v>
      </c>
      <c r="H24" s="55">
        <f t="shared" si="8"/>
        <v>2161.98</v>
      </c>
      <c r="I24" s="55"/>
      <c r="J24" s="72"/>
      <c r="K24" s="87"/>
      <c r="L24" s="87">
        <v>2.02</v>
      </c>
      <c r="M24" s="87">
        <f>L24</f>
        <v>2.02</v>
      </c>
      <c r="N24" s="87"/>
      <c r="O24" s="78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</row>
    <row r="25" spans="1:31" ht="15.75" customHeight="1" x14ac:dyDescent="0.25">
      <c r="A25" s="79" t="s">
        <v>61</v>
      </c>
      <c r="B25" s="80">
        <f>651</f>
        <v>651</v>
      </c>
      <c r="C25" s="80">
        <f>5230</f>
        <v>5230</v>
      </c>
      <c r="D25" s="81"/>
      <c r="E25" s="81"/>
      <c r="F25" s="82"/>
      <c r="G25" s="81"/>
      <c r="H25" s="55"/>
      <c r="I25" s="55"/>
      <c r="J25" s="72"/>
      <c r="K25" s="87"/>
      <c r="L25" s="87"/>
      <c r="M25" s="87"/>
      <c r="N25" s="87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</row>
    <row r="26" spans="1:31" ht="15.75" customHeight="1" x14ac:dyDescent="0.25">
      <c r="A26" s="83" t="s">
        <v>62</v>
      </c>
      <c r="B26" s="84"/>
      <c r="C26" s="84"/>
      <c r="D26" s="85">
        <f>3525</f>
        <v>3525</v>
      </c>
      <c r="E26" s="85">
        <f t="shared" ref="E26:F26" si="9">4000</f>
        <v>4000</v>
      </c>
      <c r="F26" s="85">
        <f t="shared" si="9"/>
        <v>4000</v>
      </c>
      <c r="G26" s="85">
        <f>5000</f>
        <v>5000</v>
      </c>
      <c r="H26" s="86">
        <f>G26</f>
        <v>5000</v>
      </c>
      <c r="I26" s="86">
        <f>4000</f>
        <v>4000</v>
      </c>
      <c r="J26" s="23"/>
      <c r="K26" s="87"/>
      <c r="L26" s="87">
        <v>4300</v>
      </c>
      <c r="M26" s="87">
        <f>L26</f>
        <v>4300</v>
      </c>
      <c r="N26" s="87"/>
      <c r="O26" s="90" t="s">
        <v>63</v>
      </c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</row>
    <row r="27" spans="1:31" ht="15.75" customHeight="1" x14ac:dyDescent="0.25">
      <c r="A27" s="83" t="s">
        <v>64</v>
      </c>
      <c r="B27" s="84"/>
      <c r="C27" s="84"/>
      <c r="D27" s="85">
        <f>140</f>
        <v>140</v>
      </c>
      <c r="E27" s="84"/>
      <c r="F27" s="86"/>
      <c r="G27" s="84"/>
      <c r="H27" s="86"/>
      <c r="I27" s="86"/>
      <c r="J27" s="23"/>
      <c r="K27" s="87"/>
      <c r="L27" s="91"/>
      <c r="M27" s="92"/>
      <c r="N27" s="87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</row>
    <row r="28" spans="1:31" ht="15.75" customHeight="1" x14ac:dyDescent="0.25">
      <c r="A28" s="83" t="s">
        <v>65</v>
      </c>
      <c r="B28" s="84"/>
      <c r="C28" s="84"/>
      <c r="D28" s="85">
        <f>85</f>
        <v>85</v>
      </c>
      <c r="E28" s="84"/>
      <c r="F28" s="85">
        <f t="shared" ref="F28:G28" si="10">67.87</f>
        <v>67.87</v>
      </c>
      <c r="G28" s="85">
        <f t="shared" si="10"/>
        <v>67.87</v>
      </c>
      <c r="H28" s="86">
        <f>G28</f>
        <v>67.87</v>
      </c>
      <c r="I28" s="86"/>
      <c r="J28" s="23"/>
      <c r="K28" s="87"/>
      <c r="L28" s="91"/>
      <c r="M28" s="92"/>
      <c r="N28" s="87"/>
      <c r="O28" s="90" t="s">
        <v>66</v>
      </c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</row>
    <row r="29" spans="1:31" ht="15.75" customHeight="1" x14ac:dyDescent="0.25">
      <c r="A29" s="83" t="s">
        <v>67</v>
      </c>
      <c r="B29" s="84"/>
      <c r="C29" s="84"/>
      <c r="D29" s="85">
        <f>36</f>
        <v>36</v>
      </c>
      <c r="E29" s="85">
        <f>234</f>
        <v>234</v>
      </c>
      <c r="F29" s="85">
        <f>26</f>
        <v>26</v>
      </c>
      <c r="G29" s="84"/>
      <c r="H29" s="86"/>
      <c r="I29" s="86"/>
      <c r="J29" s="23"/>
      <c r="K29" s="87"/>
      <c r="L29" s="91">
        <v>39</v>
      </c>
      <c r="M29" s="89">
        <f t="shared" ref="M29:M30" si="11">L29</f>
        <v>39</v>
      </c>
      <c r="N29" s="87"/>
      <c r="O29" s="90" t="s">
        <v>68</v>
      </c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</row>
    <row r="30" spans="1:31" ht="15.75" customHeight="1" x14ac:dyDescent="0.25">
      <c r="A30" s="83" t="s">
        <v>69</v>
      </c>
      <c r="B30" s="84"/>
      <c r="C30" s="84"/>
      <c r="D30" s="85">
        <f>84</f>
        <v>84</v>
      </c>
      <c r="E30" s="85">
        <f>925</f>
        <v>925</v>
      </c>
      <c r="F30" s="85">
        <f t="shared" ref="F30:G30" si="12">100</f>
        <v>100</v>
      </c>
      <c r="G30" s="85">
        <f t="shared" si="12"/>
        <v>100</v>
      </c>
      <c r="H30" s="86">
        <f>G30</f>
        <v>100</v>
      </c>
      <c r="I30" s="86">
        <f>1300</f>
        <v>1300</v>
      </c>
      <c r="J30" s="23"/>
      <c r="K30" s="87"/>
      <c r="L30" s="91">
        <v>795</v>
      </c>
      <c r="M30" s="89">
        <f t="shared" si="11"/>
        <v>795</v>
      </c>
      <c r="N30" s="87"/>
      <c r="O30" s="90" t="s">
        <v>70</v>
      </c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</row>
    <row r="31" spans="1:31" ht="15.75" customHeight="1" x14ac:dyDescent="0.25">
      <c r="A31" s="83" t="s">
        <v>71</v>
      </c>
      <c r="B31" s="84"/>
      <c r="C31" s="84"/>
      <c r="D31" s="85">
        <f>40</f>
        <v>40</v>
      </c>
      <c r="E31" s="84"/>
      <c r="F31" s="86"/>
      <c r="G31" s="84"/>
      <c r="H31" s="86"/>
      <c r="I31" s="86"/>
      <c r="J31" s="23"/>
      <c r="K31" s="87"/>
      <c r="L31" s="91"/>
      <c r="M31" s="92"/>
      <c r="N31" s="87"/>
      <c r="O31" s="90" t="s">
        <v>72</v>
      </c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</row>
    <row r="32" spans="1:31" ht="15.75" customHeight="1" x14ac:dyDescent="0.25">
      <c r="A32" s="83" t="s">
        <v>73</v>
      </c>
      <c r="B32" s="84"/>
      <c r="C32" s="84"/>
      <c r="D32" s="84"/>
      <c r="E32" s="84"/>
      <c r="F32" s="85">
        <f>1375</f>
        <v>1375</v>
      </c>
      <c r="G32" s="85">
        <f>2628</f>
        <v>2628</v>
      </c>
      <c r="H32" s="86">
        <f t="shared" ref="H32:H33" si="13">G32</f>
        <v>2628</v>
      </c>
      <c r="I32" s="86"/>
      <c r="J32" s="23" t="s">
        <v>33</v>
      </c>
      <c r="K32" s="87">
        <v>2000</v>
      </c>
      <c r="L32" s="88">
        <v>2016</v>
      </c>
      <c r="M32" s="89">
        <f>L32/11.5*12</f>
        <v>2103.6521739130435</v>
      </c>
      <c r="N32" s="87">
        <v>2000</v>
      </c>
      <c r="O32" s="53" t="s">
        <v>74</v>
      </c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</row>
    <row r="33" spans="1:31" ht="15.75" customHeight="1" x14ac:dyDescent="0.25">
      <c r="A33" s="83" t="s">
        <v>75</v>
      </c>
      <c r="B33" s="84"/>
      <c r="C33" s="84"/>
      <c r="D33" s="85">
        <f>384</f>
        <v>384</v>
      </c>
      <c r="E33" s="85">
        <f>248.71</f>
        <v>248.71</v>
      </c>
      <c r="F33" s="85">
        <f>84.51</f>
        <v>84.51</v>
      </c>
      <c r="G33" s="85">
        <f>315</f>
        <v>315</v>
      </c>
      <c r="H33" s="86">
        <f t="shared" si="13"/>
        <v>315</v>
      </c>
      <c r="I33" s="86"/>
      <c r="J33" s="23"/>
      <c r="K33" s="87"/>
      <c r="L33" s="91"/>
      <c r="M33" s="93"/>
      <c r="N33" s="94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</row>
    <row r="34" spans="1:31" ht="15.75" customHeight="1" x14ac:dyDescent="0.25">
      <c r="A34" s="48" t="s">
        <v>76</v>
      </c>
      <c r="B34" s="95">
        <f t="shared" ref="B34:I34" si="14">SUM(B25:B33)</f>
        <v>651</v>
      </c>
      <c r="C34" s="95">
        <f t="shared" si="14"/>
        <v>5230</v>
      </c>
      <c r="D34" s="95">
        <f t="shared" si="14"/>
        <v>4294</v>
      </c>
      <c r="E34" s="95">
        <f t="shared" si="14"/>
        <v>5407.71</v>
      </c>
      <c r="F34" s="95">
        <f t="shared" si="14"/>
        <v>5653.38</v>
      </c>
      <c r="G34" s="95">
        <f t="shared" si="14"/>
        <v>8110.87</v>
      </c>
      <c r="H34" s="95">
        <f t="shared" si="14"/>
        <v>8110.87</v>
      </c>
      <c r="I34" s="96">
        <f t="shared" si="14"/>
        <v>5300</v>
      </c>
      <c r="J34" s="97"/>
      <c r="K34" s="98">
        <f t="shared" ref="K34:N34" si="15">SUM(K25:K33)</f>
        <v>2000</v>
      </c>
      <c r="L34" s="99">
        <f t="shared" si="15"/>
        <v>7150</v>
      </c>
      <c r="M34" s="100">
        <f t="shared" si="15"/>
        <v>7237.652173913044</v>
      </c>
      <c r="N34" s="101">
        <f t="shared" si="15"/>
        <v>2000</v>
      </c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</row>
    <row r="35" spans="1:31" ht="15.75" customHeight="1" x14ac:dyDescent="0.25">
      <c r="A35" s="48" t="s">
        <v>77</v>
      </c>
      <c r="B35" s="49"/>
      <c r="C35" s="50">
        <f>284.9</f>
        <v>284.89999999999998</v>
      </c>
      <c r="D35" s="50">
        <f>20</f>
        <v>20</v>
      </c>
      <c r="E35" s="49"/>
      <c r="F35" s="55"/>
      <c r="G35" s="49"/>
      <c r="H35" s="55"/>
      <c r="I35" s="22"/>
      <c r="J35" s="23"/>
      <c r="K35" s="24"/>
      <c r="L35" s="25">
        <v>100</v>
      </c>
      <c r="M35" s="52">
        <f t="shared" ref="M35:M36" si="16">L35</f>
        <v>100</v>
      </c>
      <c r="N35" s="24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</row>
    <row r="36" spans="1:31" ht="15.75" customHeight="1" x14ac:dyDescent="0.25">
      <c r="A36" s="48" t="s">
        <v>78</v>
      </c>
      <c r="B36" s="50">
        <f>570</f>
        <v>570</v>
      </c>
      <c r="C36" s="50">
        <f>625</f>
        <v>625</v>
      </c>
      <c r="D36" s="50">
        <f>631</f>
        <v>631</v>
      </c>
      <c r="E36" s="50">
        <f>723.78</f>
        <v>723.78</v>
      </c>
      <c r="F36" s="50">
        <f>484.37</f>
        <v>484.37</v>
      </c>
      <c r="G36" s="50">
        <f>95</f>
        <v>95</v>
      </c>
      <c r="H36" s="22">
        <f t="shared" ref="H36:H37" si="17">G36</f>
        <v>95</v>
      </c>
      <c r="I36" s="22">
        <f>675</f>
        <v>675</v>
      </c>
      <c r="J36" s="23" t="s">
        <v>79</v>
      </c>
      <c r="K36" s="24">
        <v>375</v>
      </c>
      <c r="L36" s="51">
        <v>50</v>
      </c>
      <c r="M36" s="26">
        <f t="shared" si="16"/>
        <v>50</v>
      </c>
      <c r="N36" s="24">
        <v>700</v>
      </c>
      <c r="O36" s="53" t="s">
        <v>80</v>
      </c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</row>
    <row r="37" spans="1:31" ht="15.75" customHeight="1" x14ac:dyDescent="0.25">
      <c r="A37" s="48" t="s">
        <v>81</v>
      </c>
      <c r="B37" s="50">
        <f>13.33</f>
        <v>13.33</v>
      </c>
      <c r="C37" s="50">
        <f>165.33</f>
        <v>165.33</v>
      </c>
      <c r="D37" s="50">
        <f>86.77</f>
        <v>86.77</v>
      </c>
      <c r="E37" s="50">
        <f>277.91</f>
        <v>277.91000000000003</v>
      </c>
      <c r="F37" s="50">
        <f>180.07</f>
        <v>180.07</v>
      </c>
      <c r="G37" s="50">
        <f>195.68</f>
        <v>195.68</v>
      </c>
      <c r="H37" s="22">
        <f t="shared" si="17"/>
        <v>195.68</v>
      </c>
      <c r="I37" s="22">
        <f>100</f>
        <v>100</v>
      </c>
      <c r="J37" s="23" t="s">
        <v>28</v>
      </c>
      <c r="K37" s="24">
        <f>K119-50</f>
        <v>730</v>
      </c>
      <c r="L37" s="51">
        <v>367.42</v>
      </c>
      <c r="M37" s="52">
        <f>L37/11.5*12</f>
        <v>383.39478260869566</v>
      </c>
      <c r="N37" s="71">
        <v>400</v>
      </c>
      <c r="O37" s="53" t="s">
        <v>82</v>
      </c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</row>
    <row r="38" spans="1:31" ht="15.75" customHeight="1" x14ac:dyDescent="0.25">
      <c r="A38" s="48" t="s">
        <v>83</v>
      </c>
      <c r="B38" s="50"/>
      <c r="C38" s="50"/>
      <c r="D38" s="50"/>
      <c r="E38" s="50"/>
      <c r="F38" s="50"/>
      <c r="G38" s="50"/>
      <c r="H38" s="22"/>
      <c r="I38" s="22"/>
      <c r="J38" s="23"/>
      <c r="K38" s="24"/>
      <c r="L38" s="25">
        <v>12</v>
      </c>
      <c r="M38" s="52">
        <f>L38</f>
        <v>12</v>
      </c>
      <c r="N38" s="24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 ht="15.75" customHeight="1" x14ac:dyDescent="0.25">
      <c r="A39" s="48" t="s">
        <v>84</v>
      </c>
      <c r="B39" s="50"/>
      <c r="C39" s="50"/>
      <c r="D39" s="50"/>
      <c r="E39" s="50"/>
      <c r="F39" s="50"/>
      <c r="G39" s="50"/>
      <c r="H39" s="22"/>
      <c r="I39" s="22"/>
      <c r="J39" s="23"/>
      <c r="K39" s="24"/>
      <c r="L39" s="51">
        <v>10100</v>
      </c>
      <c r="M39" s="102">
        <f>L39/11.5*12</f>
        <v>10539.130434782608</v>
      </c>
      <c r="N39" s="103">
        <v>1600</v>
      </c>
      <c r="O39" s="54" t="s">
        <v>85</v>
      </c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ht="15.75" customHeight="1" x14ac:dyDescent="0.25">
      <c r="A40" s="27" t="s">
        <v>86</v>
      </c>
      <c r="B40" s="65">
        <f t="shared" ref="B40:I40" si="18">SUM(B17:B24)+SUM(B34:B37)</f>
        <v>4783.8899999999994</v>
      </c>
      <c r="C40" s="65">
        <f t="shared" si="18"/>
        <v>13061.64</v>
      </c>
      <c r="D40" s="65">
        <f t="shared" si="18"/>
        <v>11848.3</v>
      </c>
      <c r="E40" s="65">
        <f t="shared" si="18"/>
        <v>13801.45</v>
      </c>
      <c r="F40" s="65">
        <f t="shared" si="18"/>
        <v>9632.130000000001</v>
      </c>
      <c r="G40" s="65">
        <f t="shared" si="18"/>
        <v>16971.379999999997</v>
      </c>
      <c r="H40" s="65">
        <f t="shared" si="18"/>
        <v>16971.379999999997</v>
      </c>
      <c r="I40" s="65">
        <f t="shared" si="18"/>
        <v>12475</v>
      </c>
      <c r="J40" s="66"/>
      <c r="K40" s="67">
        <f t="shared" ref="K40:L40" si="19">SUM(K17:K33)+SUM(K35:K39)</f>
        <v>8955</v>
      </c>
      <c r="L40" s="68">
        <f t="shared" si="19"/>
        <v>23821.25</v>
      </c>
      <c r="M40" s="69">
        <f>SUM(M34:M39,M17:M24)</f>
        <v>24513.086086956522</v>
      </c>
      <c r="N40" s="70">
        <f>SUM(N16:N24,N34:N39)</f>
        <v>8850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ht="15.75" customHeight="1" x14ac:dyDescent="0.25">
      <c r="A41" s="46" t="s">
        <v>87</v>
      </c>
      <c r="B41" s="21"/>
      <c r="C41" s="21"/>
      <c r="D41" s="21"/>
      <c r="E41" s="21"/>
      <c r="F41" s="22"/>
      <c r="G41" s="21"/>
      <c r="H41" s="22"/>
      <c r="I41" s="22"/>
      <c r="J41" s="23"/>
      <c r="K41" s="24"/>
      <c r="L41" s="25"/>
      <c r="M41" s="26"/>
      <c r="N41" s="2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5.75" customHeight="1" x14ac:dyDescent="0.25">
      <c r="A42" s="46" t="s">
        <v>88</v>
      </c>
      <c r="B42" s="47">
        <f>7600</f>
        <v>7600</v>
      </c>
      <c r="C42" s="47">
        <f>8900</f>
        <v>8900</v>
      </c>
      <c r="D42" s="47">
        <f>11450</f>
        <v>11450</v>
      </c>
      <c r="E42" s="47">
        <f>11400</f>
        <v>11400</v>
      </c>
      <c r="F42" s="47">
        <f>4750</f>
        <v>4750</v>
      </c>
      <c r="G42" s="47">
        <f>950</f>
        <v>950</v>
      </c>
      <c r="H42" s="22">
        <f>G42</f>
        <v>950</v>
      </c>
      <c r="I42" s="22">
        <f>950</f>
        <v>950</v>
      </c>
      <c r="J42" s="23"/>
      <c r="K42" s="24"/>
      <c r="L42" s="25"/>
      <c r="M42" s="26"/>
      <c r="N42" s="2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.75" hidden="1" customHeight="1" x14ac:dyDescent="0.25">
      <c r="A43" s="46" t="s">
        <v>89</v>
      </c>
      <c r="B43" s="21"/>
      <c r="C43" s="21"/>
      <c r="D43" s="21"/>
      <c r="E43" s="21"/>
      <c r="F43" s="22"/>
      <c r="G43" s="21"/>
      <c r="H43" s="22"/>
      <c r="I43" s="22"/>
      <c r="J43" s="23"/>
      <c r="K43" s="24"/>
      <c r="L43" s="25"/>
      <c r="M43" s="26"/>
      <c r="N43" s="2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.75" hidden="1" customHeight="1" x14ac:dyDescent="0.25">
      <c r="A44" s="46" t="s">
        <v>90</v>
      </c>
      <c r="B44" s="47">
        <f>4200</f>
        <v>4200</v>
      </c>
      <c r="C44" s="47">
        <f>4530</f>
        <v>4530</v>
      </c>
      <c r="D44" s="47">
        <f>13013.55</f>
        <v>13013.55</v>
      </c>
      <c r="E44" s="21"/>
      <c r="F44" s="22"/>
      <c r="G44" s="21"/>
      <c r="H44" s="22"/>
      <c r="I44" s="22"/>
      <c r="J44" s="23"/>
      <c r="K44" s="24"/>
      <c r="L44" s="25"/>
      <c r="M44" s="26"/>
      <c r="N44" s="2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5.75" hidden="1" customHeight="1" x14ac:dyDescent="0.25">
      <c r="A45" s="46" t="s">
        <v>91</v>
      </c>
      <c r="B45" s="47">
        <f>9161.6</f>
        <v>9161.6</v>
      </c>
      <c r="C45" s="47">
        <f>4303.53</f>
        <v>4303.53</v>
      </c>
      <c r="D45" s="21"/>
      <c r="E45" s="21"/>
      <c r="F45" s="22"/>
      <c r="G45" s="21"/>
      <c r="H45" s="22"/>
      <c r="I45" s="22"/>
      <c r="J45" s="23"/>
      <c r="K45" s="24"/>
      <c r="L45" s="25"/>
      <c r="M45" s="26"/>
      <c r="N45" s="2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5.75" hidden="1" customHeight="1" x14ac:dyDescent="0.25">
      <c r="A46" s="46" t="s">
        <v>92</v>
      </c>
      <c r="B46" s="47">
        <f>10030.86</f>
        <v>10030.86</v>
      </c>
      <c r="C46" s="47">
        <f>7870</f>
        <v>7870</v>
      </c>
      <c r="D46" s="47">
        <f>800</f>
        <v>800</v>
      </c>
      <c r="E46" s="21"/>
      <c r="F46" s="22"/>
      <c r="G46" s="21"/>
      <c r="H46" s="22"/>
      <c r="I46" s="59"/>
      <c r="J46" s="60"/>
      <c r="K46" s="61"/>
      <c r="L46" s="62"/>
      <c r="M46" s="63"/>
      <c r="N46" s="6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.75" hidden="1" customHeight="1" x14ac:dyDescent="0.25">
      <c r="A47" s="46" t="s">
        <v>93</v>
      </c>
      <c r="B47" s="47">
        <f>118</f>
        <v>118</v>
      </c>
      <c r="C47" s="21"/>
      <c r="D47" s="21"/>
      <c r="E47" s="21"/>
      <c r="F47" s="22"/>
      <c r="G47" s="21"/>
      <c r="H47" s="22"/>
      <c r="I47" s="59"/>
      <c r="J47" s="60"/>
      <c r="K47" s="61"/>
      <c r="L47" s="62"/>
      <c r="M47" s="63"/>
      <c r="N47" s="6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5.75" customHeight="1" x14ac:dyDescent="0.25">
      <c r="A48" s="27" t="s">
        <v>94</v>
      </c>
      <c r="B48" s="65">
        <f t="shared" ref="B48:H48" si="20">SUM(B41:B47)</f>
        <v>31110.46</v>
      </c>
      <c r="C48" s="65">
        <f t="shared" si="20"/>
        <v>25603.53</v>
      </c>
      <c r="D48" s="65">
        <f t="shared" si="20"/>
        <v>25263.55</v>
      </c>
      <c r="E48" s="65">
        <f t="shared" si="20"/>
        <v>11400</v>
      </c>
      <c r="F48" s="65">
        <f t="shared" si="20"/>
        <v>4750</v>
      </c>
      <c r="G48" s="65">
        <f t="shared" si="20"/>
        <v>950</v>
      </c>
      <c r="H48" s="65">
        <f t="shared" si="20"/>
        <v>950</v>
      </c>
      <c r="I48" s="65">
        <f>SUM(I42:I45)</f>
        <v>950</v>
      </c>
      <c r="J48" s="66"/>
      <c r="K48" s="67">
        <f>SUM(K41:K47)</f>
        <v>0</v>
      </c>
      <c r="L48" s="104"/>
      <c r="M48" s="69"/>
      <c r="N48" s="70">
        <f>SUM(N41:N47)</f>
        <v>0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31" ht="15.75" customHeight="1" x14ac:dyDescent="0.25">
      <c r="A49" s="48" t="s">
        <v>95</v>
      </c>
      <c r="B49" s="49"/>
      <c r="C49" s="49"/>
      <c r="D49" s="49"/>
      <c r="E49" s="49"/>
      <c r="F49" s="55"/>
      <c r="G49" s="49"/>
      <c r="H49" s="55"/>
      <c r="I49" s="22"/>
      <c r="J49" s="23"/>
      <c r="K49" s="24"/>
      <c r="L49" s="25"/>
      <c r="M49" s="26"/>
      <c r="N49" s="24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</row>
    <row r="50" spans="1:31" ht="15.75" customHeight="1" x14ac:dyDescent="0.25">
      <c r="A50" s="48" t="s">
        <v>96</v>
      </c>
      <c r="B50" s="50"/>
      <c r="C50" s="50"/>
      <c r="D50" s="50"/>
      <c r="E50" s="50"/>
      <c r="F50" s="50"/>
      <c r="G50" s="49"/>
      <c r="H50" s="50"/>
      <c r="I50" s="50"/>
      <c r="J50" s="23" t="s">
        <v>97</v>
      </c>
      <c r="K50" s="24">
        <v>16297</v>
      </c>
      <c r="L50" s="51">
        <v>13853</v>
      </c>
      <c r="M50" s="52">
        <f>L50+50</f>
        <v>13903</v>
      </c>
      <c r="N50" s="24"/>
      <c r="O50" s="53" t="s">
        <v>98</v>
      </c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</row>
    <row r="51" spans="1:31" ht="15.75" customHeight="1" x14ac:dyDescent="0.25">
      <c r="A51" s="48" t="s">
        <v>99</v>
      </c>
      <c r="B51" s="50"/>
      <c r="C51" s="50"/>
      <c r="D51" s="50"/>
      <c r="E51" s="50"/>
      <c r="F51" s="50"/>
      <c r="G51" s="49"/>
      <c r="H51" s="50"/>
      <c r="I51" s="105"/>
      <c r="J51" s="23" t="s">
        <v>100</v>
      </c>
      <c r="K51" s="71">
        <v>30499</v>
      </c>
      <c r="L51" s="51">
        <v>2461.85</v>
      </c>
      <c r="M51" s="57">
        <f>L51+200</f>
        <v>2661.85</v>
      </c>
      <c r="N51" s="58">
        <f>((((250000*0.4)/12)*7))+15000</f>
        <v>73333.333333333343</v>
      </c>
      <c r="O51" s="54" t="s">
        <v>101</v>
      </c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</row>
    <row r="52" spans="1:31" ht="15.75" customHeight="1" x14ac:dyDescent="0.25">
      <c r="A52" s="27" t="s">
        <v>102</v>
      </c>
      <c r="B52" s="65"/>
      <c r="C52" s="65"/>
      <c r="D52" s="65"/>
      <c r="E52" s="65"/>
      <c r="F52" s="65"/>
      <c r="G52" s="65"/>
      <c r="H52" s="65"/>
      <c r="I52" s="65"/>
      <c r="J52" s="66"/>
      <c r="K52" s="67">
        <f t="shared" ref="K52:N52" si="21">SUM(K50:K51)</f>
        <v>46796</v>
      </c>
      <c r="L52" s="68">
        <f t="shared" si="21"/>
        <v>16314.85</v>
      </c>
      <c r="M52" s="106">
        <f t="shared" si="21"/>
        <v>16564.849999999999</v>
      </c>
      <c r="N52" s="107">
        <f t="shared" si="21"/>
        <v>73333.333333333343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31" ht="15.75" customHeight="1" x14ac:dyDescent="0.25">
      <c r="A53" s="108" t="s">
        <v>103</v>
      </c>
      <c r="B53" s="109">
        <f t="shared" ref="B53:H53" si="22">SUM(B5)+SUM(B6)+B15+B40+B48</f>
        <v>319568.80000000005</v>
      </c>
      <c r="C53" s="109">
        <f t="shared" si="22"/>
        <v>304537.38</v>
      </c>
      <c r="D53" s="109">
        <f t="shared" si="22"/>
        <v>336834.42</v>
      </c>
      <c r="E53" s="109">
        <f t="shared" si="22"/>
        <v>331458.99000000005</v>
      </c>
      <c r="F53" s="109">
        <f t="shared" si="22"/>
        <v>330952.05</v>
      </c>
      <c r="G53" s="109">
        <f t="shared" si="22"/>
        <v>333586.69</v>
      </c>
      <c r="H53" s="109">
        <f t="shared" si="22"/>
        <v>333586.69</v>
      </c>
      <c r="I53" s="109">
        <f>SUM(I5,I15,I40,I48)</f>
        <v>334583</v>
      </c>
      <c r="J53" s="110"/>
      <c r="K53" s="111">
        <f t="shared" ref="K53:L53" si="23">K5+K6+K15+K40+K48+K4+K52</f>
        <v>405782.16013333335</v>
      </c>
      <c r="L53" s="112">
        <f t="shared" si="23"/>
        <v>376800.73</v>
      </c>
      <c r="M53" s="113">
        <f>SUM(M52,M40,M15,M4:M5)</f>
        <v>390912.47043478262</v>
      </c>
      <c r="N53" s="114">
        <f>SUM(N5)+SUM(N6)+N15+N40+N48+N4+N52</f>
        <v>428506.67027246382</v>
      </c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</row>
    <row r="54" spans="1:31" ht="15.75" customHeight="1" thickBot="1" x14ac:dyDescent="0.3">
      <c r="A54" s="20"/>
      <c r="B54" s="116"/>
      <c r="C54" s="116"/>
      <c r="D54" s="116"/>
      <c r="E54" s="116"/>
      <c r="F54" s="116"/>
      <c r="G54" s="116"/>
      <c r="H54" s="22"/>
      <c r="I54" s="22"/>
      <c r="J54" s="23"/>
      <c r="K54" s="24"/>
      <c r="L54" s="25"/>
      <c r="M54" s="26"/>
      <c r="N54" s="2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5.75" customHeight="1" thickTop="1" x14ac:dyDescent="0.25">
      <c r="A55" s="117" t="s">
        <v>104</v>
      </c>
      <c r="B55" s="118">
        <f t="shared" ref="B55:I55" si="24">(B53)-(0)</f>
        <v>319568.80000000005</v>
      </c>
      <c r="C55" s="118">
        <f t="shared" si="24"/>
        <v>304537.38</v>
      </c>
      <c r="D55" s="118">
        <f t="shared" si="24"/>
        <v>336834.42</v>
      </c>
      <c r="E55" s="118">
        <f t="shared" si="24"/>
        <v>331458.99000000005</v>
      </c>
      <c r="F55" s="118">
        <f t="shared" si="24"/>
        <v>330952.05</v>
      </c>
      <c r="G55" s="118">
        <f t="shared" si="24"/>
        <v>333586.69</v>
      </c>
      <c r="H55" s="118">
        <f t="shared" si="24"/>
        <v>333586.69</v>
      </c>
      <c r="I55" s="118">
        <f t="shared" si="24"/>
        <v>334583</v>
      </c>
      <c r="J55" s="119"/>
      <c r="K55" s="362">
        <f t="shared" ref="K55:M55" si="25">(K53)-(0)</f>
        <v>405782.16013333335</v>
      </c>
      <c r="L55" s="362">
        <f t="shared" si="25"/>
        <v>376800.73</v>
      </c>
      <c r="M55" s="362">
        <f t="shared" si="25"/>
        <v>390912.47043478262</v>
      </c>
      <c r="N55" s="362">
        <f>(N53)-(0)</f>
        <v>428506.67027246382</v>
      </c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</row>
    <row r="56" spans="1:31" ht="15.75" customHeight="1" x14ac:dyDescent="0.25">
      <c r="A56" s="20"/>
      <c r="B56" s="21"/>
      <c r="C56" s="21"/>
      <c r="D56" s="21"/>
      <c r="E56" s="21"/>
      <c r="F56" s="22"/>
      <c r="G56" s="21"/>
      <c r="H56" s="22"/>
      <c r="I56" s="22"/>
      <c r="J56" s="23"/>
      <c r="K56" s="24"/>
      <c r="L56" s="25"/>
      <c r="M56" s="26"/>
      <c r="N56" s="2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5.75" customHeight="1" x14ac:dyDescent="0.25">
      <c r="A57" s="20" t="s">
        <v>105</v>
      </c>
      <c r="B57" s="21"/>
      <c r="C57" s="21"/>
      <c r="D57" s="21"/>
      <c r="E57" s="21"/>
      <c r="F57" s="22"/>
      <c r="G57" s="21"/>
      <c r="H57" s="22"/>
      <c r="I57" s="22"/>
      <c r="J57" s="23"/>
      <c r="K57" s="24"/>
      <c r="L57" s="25"/>
      <c r="M57" s="26"/>
      <c r="N57" s="2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5.75" customHeight="1" x14ac:dyDescent="0.25">
      <c r="A58" s="122" t="s">
        <v>106</v>
      </c>
      <c r="B58" s="123"/>
      <c r="C58" s="123"/>
      <c r="D58" s="123"/>
      <c r="E58" s="123"/>
      <c r="F58" s="124"/>
      <c r="G58" s="125"/>
      <c r="H58" s="124"/>
      <c r="I58" s="124"/>
      <c r="J58" s="126"/>
      <c r="K58" s="127"/>
      <c r="L58" s="128"/>
      <c r="M58" s="129"/>
      <c r="N58" s="130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</row>
    <row r="59" spans="1:31" ht="15.75" customHeight="1" x14ac:dyDescent="0.25">
      <c r="A59" s="122" t="s">
        <v>107</v>
      </c>
      <c r="B59" s="123">
        <f>180</f>
        <v>180</v>
      </c>
      <c r="C59" s="123">
        <f>0</f>
        <v>0</v>
      </c>
      <c r="D59" s="123">
        <f>165</f>
        <v>165</v>
      </c>
      <c r="E59" s="123">
        <f>0</f>
        <v>0</v>
      </c>
      <c r="F59" s="124"/>
      <c r="G59" s="125"/>
      <c r="H59" s="124"/>
      <c r="I59" s="124"/>
      <c r="J59" s="126"/>
      <c r="K59" s="127"/>
      <c r="L59" s="132">
        <v>283.52</v>
      </c>
      <c r="M59" s="129">
        <f>L59/11.5*12</f>
        <v>295.84695652173912</v>
      </c>
      <c r="N59" s="130"/>
      <c r="O59" s="131" t="s">
        <v>108</v>
      </c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</row>
    <row r="60" spans="1:31" ht="15.75" customHeight="1" x14ac:dyDescent="0.25">
      <c r="A60" s="133" t="s">
        <v>109</v>
      </c>
      <c r="B60" s="134"/>
      <c r="C60" s="134"/>
      <c r="D60" s="134"/>
      <c r="E60" s="134"/>
      <c r="F60" s="135"/>
      <c r="G60" s="134"/>
      <c r="H60" s="135"/>
      <c r="I60" s="135"/>
      <c r="J60" s="136"/>
      <c r="K60" s="137"/>
      <c r="L60" s="138"/>
      <c r="M60" s="139"/>
      <c r="N60" s="140"/>
      <c r="O60" s="141" t="s">
        <v>110</v>
      </c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</row>
    <row r="61" spans="1:31" ht="15.75" customHeight="1" x14ac:dyDescent="0.25">
      <c r="A61" s="133" t="s">
        <v>111</v>
      </c>
      <c r="B61" s="143">
        <f>22714.56</f>
        <v>22714.560000000001</v>
      </c>
      <c r="C61" s="143">
        <f>24672</f>
        <v>24672</v>
      </c>
      <c r="D61" s="143">
        <f>26496</f>
        <v>26496</v>
      </c>
      <c r="E61" s="143">
        <f>28704</f>
        <v>28704</v>
      </c>
      <c r="F61" s="143">
        <f>29896</f>
        <v>29896</v>
      </c>
      <c r="G61" s="143">
        <f>30492</f>
        <v>30492</v>
      </c>
      <c r="H61" s="135">
        <f t="shared" ref="H61:H66" si="26">G61</f>
        <v>30492</v>
      </c>
      <c r="I61" s="135">
        <f>30492</f>
        <v>30492</v>
      </c>
      <c r="J61" s="136" t="s">
        <v>28</v>
      </c>
      <c r="K61" s="137">
        <f>2744*12</f>
        <v>32928</v>
      </c>
      <c r="L61" s="144">
        <v>32928</v>
      </c>
      <c r="M61" s="145">
        <f t="shared" ref="M61:M62" si="27">L61</f>
        <v>32928</v>
      </c>
      <c r="N61" s="140">
        <v>35304</v>
      </c>
      <c r="O61" s="146"/>
      <c r="P61" s="147" t="s">
        <v>112</v>
      </c>
      <c r="Q61" s="148">
        <v>100866</v>
      </c>
      <c r="S61" s="149">
        <f>Q61*1.059</f>
        <v>106817.094</v>
      </c>
      <c r="T61" s="150" t="s">
        <v>113</v>
      </c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</row>
    <row r="62" spans="1:31" ht="15.75" customHeight="1" x14ac:dyDescent="0.25">
      <c r="A62" s="133" t="s">
        <v>114</v>
      </c>
      <c r="B62" s="143">
        <f>2343.46</f>
        <v>2343.46</v>
      </c>
      <c r="C62" s="143">
        <f>2293.17</f>
        <v>2293.17</v>
      </c>
      <c r="D62" s="143">
        <f>2318.31</f>
        <v>2318.31</v>
      </c>
      <c r="E62" s="143">
        <f>2397.05</f>
        <v>2397.0500000000002</v>
      </c>
      <c r="F62" s="143">
        <f>2428.18</f>
        <v>2428.1799999999998</v>
      </c>
      <c r="G62" s="143">
        <f>2442.02</f>
        <v>2442.02</v>
      </c>
      <c r="H62" s="135">
        <f t="shared" si="26"/>
        <v>2442.02</v>
      </c>
      <c r="I62" s="135">
        <f>2445.45</f>
        <v>2445.4499999999998</v>
      </c>
      <c r="J62" s="151" t="s">
        <v>115</v>
      </c>
      <c r="K62" s="137">
        <f>203.79*3</f>
        <v>611.37</v>
      </c>
      <c r="L62" s="138">
        <v>611.37</v>
      </c>
      <c r="M62" s="145">
        <f t="shared" si="27"/>
        <v>611.37</v>
      </c>
      <c r="N62" s="140"/>
      <c r="O62" s="152"/>
      <c r="P62" s="153" t="s">
        <v>116</v>
      </c>
      <c r="Q62" s="154">
        <f>Q61/12*9.5</f>
        <v>79852.25</v>
      </c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</row>
    <row r="63" spans="1:31" ht="15.75" customHeight="1" x14ac:dyDescent="0.25">
      <c r="A63" s="83" t="s">
        <v>117</v>
      </c>
      <c r="B63" s="85">
        <f>40085.8</f>
        <v>40085.800000000003</v>
      </c>
      <c r="C63" s="85">
        <f>43429.69</f>
        <v>43429.69</v>
      </c>
      <c r="D63" s="85">
        <f>44205.76</f>
        <v>44205.760000000002</v>
      </c>
      <c r="E63" s="85">
        <f>45652.38</f>
        <v>45652.38</v>
      </c>
      <c r="F63" s="85">
        <f>46492.7</f>
        <v>46492.7</v>
      </c>
      <c r="G63" s="85">
        <f>47291.8</f>
        <v>47291.8</v>
      </c>
      <c r="H63" s="85">
        <f t="shared" si="26"/>
        <v>47291.8</v>
      </c>
      <c r="I63" s="86">
        <f>48820</f>
        <v>48820</v>
      </c>
      <c r="J63" s="23" t="s">
        <v>28</v>
      </c>
      <c r="K63" s="87">
        <f>(Q63/12*9.5)+(O63/12*2.5)</f>
        <v>59524.992413686326</v>
      </c>
      <c r="L63" s="88">
        <v>54879.93</v>
      </c>
      <c r="M63" s="52">
        <f>L63+2509.47</f>
        <v>57389.4</v>
      </c>
      <c r="N63" s="87">
        <f>S63</f>
        <v>66020.279325592186</v>
      </c>
      <c r="O63" s="155">
        <v>48820</v>
      </c>
      <c r="P63" s="156" t="s">
        <v>118</v>
      </c>
      <c r="Q63" s="157">
        <f>(Q61/1.0765)-Q68</f>
        <v>62342.095680445884</v>
      </c>
      <c r="S63" s="157">
        <f>(S61/1.0765)-S68</f>
        <v>66020.279325592186</v>
      </c>
      <c r="T63" s="1"/>
      <c r="U63" s="1"/>
      <c r="V63" s="90"/>
      <c r="W63" s="90"/>
      <c r="X63" s="90"/>
      <c r="Y63" s="90"/>
      <c r="Z63" s="90"/>
      <c r="AA63" s="90"/>
      <c r="AB63" s="90"/>
      <c r="AC63" s="90"/>
      <c r="AD63" s="90"/>
      <c r="AE63" s="90"/>
    </row>
    <row r="64" spans="1:31" ht="15.75" customHeight="1" x14ac:dyDescent="0.25">
      <c r="A64" s="83" t="s">
        <v>119</v>
      </c>
      <c r="B64" s="85">
        <f>96.72</f>
        <v>96.72</v>
      </c>
      <c r="C64" s="85">
        <f>96.97</f>
        <v>96.97</v>
      </c>
      <c r="D64" s="85">
        <f>102.97</f>
        <v>102.97</v>
      </c>
      <c r="E64" s="85">
        <f>108.97</f>
        <v>108.97</v>
      </c>
      <c r="F64" s="85">
        <f>112.97</f>
        <v>112.97</v>
      </c>
      <c r="G64" s="85">
        <f>114.72</f>
        <v>114.72</v>
      </c>
      <c r="H64" s="85">
        <f t="shared" si="26"/>
        <v>114.72</v>
      </c>
      <c r="I64" s="86"/>
      <c r="J64" s="23" t="s">
        <v>28</v>
      </c>
      <c r="K64" s="87"/>
      <c r="L64" s="88">
        <v>109.94</v>
      </c>
      <c r="M64" s="52">
        <f>L64+4.78</f>
        <v>114.72</v>
      </c>
      <c r="N64" s="87"/>
      <c r="O64" s="158" t="s">
        <v>120</v>
      </c>
      <c r="P64" s="159">
        <f>O63/12*2.5</f>
        <v>10170.833333333334</v>
      </c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</row>
    <row r="65" spans="1:31" ht="15.75" customHeight="1" x14ac:dyDescent="0.25">
      <c r="A65" s="83" t="s">
        <v>121</v>
      </c>
      <c r="B65" s="85">
        <f>499.92</f>
        <v>499.92</v>
      </c>
      <c r="C65" s="85">
        <f>770.83</f>
        <v>770.83</v>
      </c>
      <c r="D65" s="85">
        <f>1020.68</f>
        <v>1020.68</v>
      </c>
      <c r="E65" s="85">
        <f t="shared" ref="E65:G65" si="28">1500</f>
        <v>1500</v>
      </c>
      <c r="F65" s="85">
        <f t="shared" si="28"/>
        <v>1500</v>
      </c>
      <c r="G65" s="85">
        <f t="shared" si="28"/>
        <v>1500</v>
      </c>
      <c r="H65" s="85">
        <f t="shared" si="26"/>
        <v>1500</v>
      </c>
      <c r="I65" s="86"/>
      <c r="J65" s="23" t="s">
        <v>28</v>
      </c>
      <c r="K65" s="87"/>
      <c r="L65" s="88">
        <v>1937.42</v>
      </c>
      <c r="M65" s="52">
        <f>L65+83.33</f>
        <v>2020.75</v>
      </c>
      <c r="N65" s="87"/>
      <c r="P65" s="90"/>
      <c r="Q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</row>
    <row r="66" spans="1:31" ht="15.75" customHeight="1" x14ac:dyDescent="0.25">
      <c r="A66" s="83" t="s">
        <v>122</v>
      </c>
      <c r="B66" s="85">
        <f>999.84</f>
        <v>999.84</v>
      </c>
      <c r="C66" s="85">
        <f>729.17</f>
        <v>729.17</v>
      </c>
      <c r="D66" s="85">
        <f t="shared" ref="D66:E66" si="29">499.92</f>
        <v>499.92</v>
      </c>
      <c r="E66" s="85">
        <f t="shared" si="29"/>
        <v>499.92</v>
      </c>
      <c r="F66" s="85">
        <f>354.11</f>
        <v>354.11</v>
      </c>
      <c r="G66" s="85">
        <f>187.47</f>
        <v>187.47</v>
      </c>
      <c r="H66" s="85">
        <f t="shared" si="26"/>
        <v>187.47</v>
      </c>
      <c r="I66" s="86"/>
      <c r="J66" s="23" t="s">
        <v>28</v>
      </c>
      <c r="K66" s="87"/>
      <c r="L66" s="91"/>
      <c r="M66" s="92"/>
      <c r="N66" s="87"/>
      <c r="O66" s="160"/>
      <c r="P66" s="90"/>
      <c r="Q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</row>
    <row r="67" spans="1:31" ht="15.75" customHeight="1" x14ac:dyDescent="0.25">
      <c r="A67" s="133" t="s">
        <v>123</v>
      </c>
      <c r="B67" s="161">
        <f t="shared" ref="B67:I67" si="30">SUM(B63:B66)</f>
        <v>41682.28</v>
      </c>
      <c r="C67" s="161">
        <f t="shared" si="30"/>
        <v>45026.66</v>
      </c>
      <c r="D67" s="161">
        <f t="shared" si="30"/>
        <v>45829.33</v>
      </c>
      <c r="E67" s="161">
        <f t="shared" si="30"/>
        <v>47761.27</v>
      </c>
      <c r="F67" s="161">
        <f t="shared" si="30"/>
        <v>48459.78</v>
      </c>
      <c r="G67" s="161">
        <f t="shared" si="30"/>
        <v>49093.990000000005</v>
      </c>
      <c r="H67" s="161">
        <f t="shared" si="30"/>
        <v>49093.990000000005</v>
      </c>
      <c r="I67" s="161">
        <f t="shared" si="30"/>
        <v>48820</v>
      </c>
      <c r="J67" s="162"/>
      <c r="K67" s="163">
        <f t="shared" ref="K67:M67" si="31">SUM(K63:K66)</f>
        <v>59524.992413686326</v>
      </c>
      <c r="L67" s="163">
        <f t="shared" si="31"/>
        <v>56927.29</v>
      </c>
      <c r="M67" s="163">
        <f t="shared" si="31"/>
        <v>59524.87</v>
      </c>
      <c r="N67" s="163">
        <v>66020</v>
      </c>
      <c r="O67" s="142" t="s">
        <v>124</v>
      </c>
      <c r="P67" s="142"/>
      <c r="Q67" s="164">
        <f>SUM(Q63:Q66)</f>
        <v>62342.095680445884</v>
      </c>
      <c r="S67" s="135">
        <f t="shared" ref="S67:S68" si="32">Q67*1.059</f>
        <v>66020.279325592186</v>
      </c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</row>
    <row r="68" spans="1:31" ht="15.75" customHeight="1" x14ac:dyDescent="0.25">
      <c r="A68" s="133" t="s">
        <v>125</v>
      </c>
      <c r="B68" s="143">
        <f>14166.68</f>
        <v>14166.68</v>
      </c>
      <c r="C68" s="143">
        <f t="shared" ref="C68:G68" si="33">12000</f>
        <v>12000</v>
      </c>
      <c r="D68" s="143">
        <f t="shared" si="33"/>
        <v>12000</v>
      </c>
      <c r="E68" s="143">
        <f t="shared" si="33"/>
        <v>12000</v>
      </c>
      <c r="F68" s="143">
        <f t="shared" si="33"/>
        <v>12000</v>
      </c>
      <c r="G68" s="143">
        <f t="shared" si="33"/>
        <v>12000</v>
      </c>
      <c r="H68" s="135">
        <f t="shared" ref="H68:H71" si="34">G68</f>
        <v>12000</v>
      </c>
      <c r="I68" s="135">
        <f>12000</f>
        <v>12000</v>
      </c>
      <c r="J68" s="136" t="s">
        <v>28</v>
      </c>
      <c r="K68" s="163">
        <f>(Q68/12*9.5)+(O68/12*2.5)</f>
        <v>27323.5</v>
      </c>
      <c r="L68" s="163">
        <v>26017</v>
      </c>
      <c r="M68" s="163">
        <f>L68+1306.5</f>
        <v>27323.5</v>
      </c>
      <c r="N68" s="163">
        <v>33206</v>
      </c>
      <c r="O68" s="165">
        <v>12000</v>
      </c>
      <c r="P68" s="36">
        <f>O68/12*2.5</f>
        <v>2500</v>
      </c>
      <c r="Q68" s="166">
        <v>31356</v>
      </c>
      <c r="S68" s="135">
        <f t="shared" si="32"/>
        <v>33206.004000000001</v>
      </c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</row>
    <row r="69" spans="1:31" ht="15.75" customHeight="1" x14ac:dyDescent="0.25">
      <c r="A69" s="133" t="s">
        <v>126</v>
      </c>
      <c r="B69" s="143">
        <f>9372.14</f>
        <v>9372.14</v>
      </c>
      <c r="C69" s="143">
        <f>9095.64</f>
        <v>9095.64</v>
      </c>
      <c r="D69" s="143">
        <f>9274.11</f>
        <v>9274.11</v>
      </c>
      <c r="E69" s="143">
        <f>9588.72</f>
        <v>9588.7199999999993</v>
      </c>
      <c r="F69" s="143">
        <f>9712.85</f>
        <v>9712.85</v>
      </c>
      <c r="G69" s="143">
        <f>9768.01</f>
        <v>9768.01</v>
      </c>
      <c r="H69" s="135">
        <f t="shared" si="34"/>
        <v>9768.01</v>
      </c>
      <c r="I69" s="167">
        <f>9781.8</f>
        <v>9781.7999999999993</v>
      </c>
      <c r="J69" s="151" t="s">
        <v>28</v>
      </c>
      <c r="K69" s="169">
        <f>(((Q67+Q68+Q71)*0.12)/12*9)+(O69*3)</f>
        <v>11523.39</v>
      </c>
      <c r="L69" s="169">
        <v>11523.39</v>
      </c>
      <c r="M69" s="169">
        <f t="shared" ref="M69:M70" si="35">L69</f>
        <v>11523.39</v>
      </c>
      <c r="N69" s="169">
        <f>(S67+S68+S71)*0.12</f>
        <v>12818.051279999998</v>
      </c>
      <c r="O69" s="165">
        <v>815.15</v>
      </c>
      <c r="P69" s="165" t="s">
        <v>127</v>
      </c>
      <c r="Q69" s="170" t="s">
        <v>128</v>
      </c>
      <c r="S69" s="171">
        <f t="shared" ref="S69:S70" si="36">N69/12</f>
        <v>1068.1709399999997</v>
      </c>
      <c r="T69" s="149" t="s">
        <v>127</v>
      </c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</row>
    <row r="70" spans="1:31" ht="15.75" customHeight="1" x14ac:dyDescent="0.25">
      <c r="A70" s="172" t="s">
        <v>129</v>
      </c>
      <c r="B70" s="143">
        <f>3514.55</f>
        <v>3514.55</v>
      </c>
      <c r="C70" s="143">
        <f>3030.45</f>
        <v>3030.45</v>
      </c>
      <c r="D70" s="143">
        <f>3091.37</f>
        <v>3091.37</v>
      </c>
      <c r="E70" s="143">
        <f>2716.9</f>
        <v>2716.9</v>
      </c>
      <c r="F70" s="143">
        <f>2385.74</f>
        <v>2385.7399999999998</v>
      </c>
      <c r="G70" s="143">
        <f>2075.26</f>
        <v>2075.2600000000002</v>
      </c>
      <c r="H70" s="135">
        <f t="shared" si="34"/>
        <v>2075.2600000000002</v>
      </c>
      <c r="I70" s="167">
        <f>2363.88</f>
        <v>2363.88</v>
      </c>
      <c r="J70" s="151" t="s">
        <v>28</v>
      </c>
      <c r="K70" s="169">
        <f>((0.022*(Q67+Q68+Q71))/12*9)+(O70*3)</f>
        <v>2112.6089999999999</v>
      </c>
      <c r="L70" s="169">
        <v>2112.6</v>
      </c>
      <c r="M70" s="169">
        <f t="shared" si="35"/>
        <v>2112.6</v>
      </c>
      <c r="N70" s="169">
        <f>(S67+S68+S71)*0.022</f>
        <v>2349.9760679999995</v>
      </c>
      <c r="O70" s="121">
        <f>101.89+47.55</f>
        <v>149.44</v>
      </c>
      <c r="P70" s="165" t="s">
        <v>127</v>
      </c>
      <c r="Q70" s="170" t="s">
        <v>130</v>
      </c>
      <c r="S70" s="171">
        <f t="shared" si="36"/>
        <v>195.83133899999996</v>
      </c>
      <c r="T70" s="149" t="s">
        <v>127</v>
      </c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</row>
    <row r="71" spans="1:31" ht="15.75" customHeight="1" x14ac:dyDescent="0.25">
      <c r="A71" s="133" t="s">
        <v>131</v>
      </c>
      <c r="B71" s="143">
        <f>4272.95</f>
        <v>4272.95</v>
      </c>
      <c r="C71" s="143">
        <f>4363.25</f>
        <v>4363.25</v>
      </c>
      <c r="D71" s="143">
        <f>4424.54</f>
        <v>4424.54</v>
      </c>
      <c r="E71" s="143">
        <f>4571.71</f>
        <v>4571.71</v>
      </c>
      <c r="F71" s="143">
        <f>4624.65</f>
        <v>4624.6499999999996</v>
      </c>
      <c r="G71" s="143">
        <f>4649.53</f>
        <v>4649.53</v>
      </c>
      <c r="H71" s="135">
        <f t="shared" si="34"/>
        <v>4649.53</v>
      </c>
      <c r="I71" s="135">
        <f>4652.73</f>
        <v>4652.7299999999996</v>
      </c>
      <c r="J71" s="136" t="s">
        <v>28</v>
      </c>
      <c r="K71" s="173">
        <f>(((0.0765*SUM(Q67:Q68)))/12*9.5)+(O71/12*2.5)</f>
        <v>6643.9659196470038</v>
      </c>
      <c r="L71" s="173">
        <v>6345.36</v>
      </c>
      <c r="M71" s="173">
        <f>L71+298.67</f>
        <v>6644.03</v>
      </c>
      <c r="N71" s="173">
        <v>7591</v>
      </c>
      <c r="O71" s="174">
        <v>4653</v>
      </c>
      <c r="P71" s="175">
        <f>O71/12*2.5</f>
        <v>969.375</v>
      </c>
      <c r="Q71" s="166">
        <f>(0.0765*SUM(Q67:Q68))</f>
        <v>7167.9043195541099</v>
      </c>
      <c r="R71" s="176"/>
      <c r="S71" s="177">
        <f>(0.0765*SUM(S67:S68))</f>
        <v>7590.8106744078023</v>
      </c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</row>
    <row r="72" spans="1:31" ht="15.75" customHeight="1" x14ac:dyDescent="0.25">
      <c r="A72" s="122" t="s">
        <v>132</v>
      </c>
      <c r="B72" s="178">
        <f t="shared" ref="B72:H72" si="37">(((((((B60)+(B61))+(B62))+(B67))+(B68))+(B69))+(B70))+(B71)</f>
        <v>98066.62000000001</v>
      </c>
      <c r="C72" s="178">
        <f t="shared" si="37"/>
        <v>100481.17</v>
      </c>
      <c r="D72" s="178">
        <f t="shared" si="37"/>
        <v>103433.65999999999</v>
      </c>
      <c r="E72" s="178">
        <f t="shared" si="37"/>
        <v>107739.65</v>
      </c>
      <c r="F72" s="178">
        <f t="shared" si="37"/>
        <v>109507.2</v>
      </c>
      <c r="G72" s="178">
        <f t="shared" si="37"/>
        <v>110520.81</v>
      </c>
      <c r="H72" s="178">
        <f t="shared" si="37"/>
        <v>110520.81</v>
      </c>
      <c r="I72" s="178">
        <f>I61+I62+SUM(I67:I71)</f>
        <v>110555.86</v>
      </c>
      <c r="J72" s="179"/>
      <c r="K72" s="182">
        <f t="shared" ref="K72:L72" si="38">K61+K62+SUM(K67:K71)</f>
        <v>140667.82733333332</v>
      </c>
      <c r="L72" s="182">
        <f t="shared" si="38"/>
        <v>136465.01</v>
      </c>
      <c r="M72" s="182">
        <f>SUM(M67:M71,M61:M62)</f>
        <v>140667.76</v>
      </c>
      <c r="N72" s="182">
        <f>N61+N62+SUM(N67:N71)</f>
        <v>157289.027348</v>
      </c>
      <c r="O72" s="183" t="s">
        <v>133</v>
      </c>
      <c r="P72" s="184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1"/>
      <c r="AE72" s="131"/>
    </row>
    <row r="73" spans="1:31" ht="15.75" customHeight="1" x14ac:dyDescent="0.25">
      <c r="A73" s="46" t="s">
        <v>134</v>
      </c>
      <c r="B73" s="21"/>
      <c r="C73" s="21"/>
      <c r="D73" s="21"/>
      <c r="E73" s="21"/>
      <c r="F73" s="21"/>
      <c r="G73" s="21"/>
      <c r="H73" s="22"/>
      <c r="I73" s="22"/>
      <c r="J73" s="23"/>
      <c r="K73" s="24"/>
      <c r="L73" s="25"/>
      <c r="M73" s="26"/>
      <c r="N73" s="2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5.75" customHeight="1" x14ac:dyDescent="0.25">
      <c r="A74" s="46" t="s">
        <v>135</v>
      </c>
      <c r="B74" s="47">
        <f t="shared" ref="B74:D74" si="39">900</f>
        <v>900</v>
      </c>
      <c r="C74" s="47">
        <f t="shared" si="39"/>
        <v>900</v>
      </c>
      <c r="D74" s="47">
        <f t="shared" si="39"/>
        <v>900</v>
      </c>
      <c r="E74" s="47">
        <f>644.11</f>
        <v>644.11</v>
      </c>
      <c r="F74" s="47">
        <f>767.5</f>
        <v>767.5</v>
      </c>
      <c r="G74" s="47">
        <f>900</f>
        <v>900</v>
      </c>
      <c r="H74" s="22">
        <f t="shared" ref="H74:H78" si="40">G74</f>
        <v>900</v>
      </c>
      <c r="I74" s="185">
        <f>900</f>
        <v>900</v>
      </c>
      <c r="J74" s="186" t="s">
        <v>28</v>
      </c>
      <c r="K74" s="187">
        <f>75*12</f>
        <v>900</v>
      </c>
      <c r="L74" s="188">
        <v>825</v>
      </c>
      <c r="M74" s="189">
        <f>L74/11*12</f>
        <v>900</v>
      </c>
      <c r="N74" s="187">
        <f>75*12</f>
        <v>900</v>
      </c>
      <c r="O74" s="190" t="s">
        <v>136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5.75" customHeight="1" x14ac:dyDescent="0.25">
      <c r="A75" s="46" t="s">
        <v>137</v>
      </c>
      <c r="B75" s="47">
        <f>1638.28</f>
        <v>1638.28</v>
      </c>
      <c r="C75" s="47">
        <f>2524.01</f>
        <v>2524.0100000000002</v>
      </c>
      <c r="D75" s="47">
        <f>2226.27</f>
        <v>2226.27</v>
      </c>
      <c r="E75" s="47">
        <f>1446.84</f>
        <v>1446.84</v>
      </c>
      <c r="F75" s="47">
        <f>625.08</f>
        <v>625.08000000000004</v>
      </c>
      <c r="G75" s="47">
        <f>509.28</f>
        <v>509.28</v>
      </c>
      <c r="H75" s="22">
        <f t="shared" si="40"/>
        <v>509.28</v>
      </c>
      <c r="I75" s="22">
        <f>1245</f>
        <v>1245</v>
      </c>
      <c r="J75" s="23" t="s">
        <v>28</v>
      </c>
      <c r="K75" s="24">
        <v>650</v>
      </c>
      <c r="L75" s="25">
        <v>5</v>
      </c>
      <c r="M75" s="26">
        <f>L75</f>
        <v>5</v>
      </c>
      <c r="N75" s="24">
        <v>500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5.75" customHeight="1" x14ac:dyDescent="0.25">
      <c r="A76" s="46" t="s">
        <v>138</v>
      </c>
      <c r="B76" s="47">
        <f>908.9</f>
        <v>908.9</v>
      </c>
      <c r="C76" s="47">
        <f>641.96</f>
        <v>641.96</v>
      </c>
      <c r="D76" s="47">
        <f>504.83</f>
        <v>504.83</v>
      </c>
      <c r="E76" s="47">
        <f>329.54</f>
        <v>329.54</v>
      </c>
      <c r="F76" s="47">
        <f>303.93</f>
        <v>303.93</v>
      </c>
      <c r="G76" s="47">
        <f>253.93</f>
        <v>253.93</v>
      </c>
      <c r="H76" s="22">
        <f t="shared" si="40"/>
        <v>253.93</v>
      </c>
      <c r="I76" s="22">
        <f>1040</f>
        <v>1040</v>
      </c>
      <c r="J76" s="23" t="s">
        <v>28</v>
      </c>
      <c r="K76" s="24">
        <v>350</v>
      </c>
      <c r="L76" s="51">
        <v>86.55</v>
      </c>
      <c r="M76" s="26">
        <f>L76/11.5*12</f>
        <v>90.313043478260866</v>
      </c>
      <c r="N76" s="24">
        <v>200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5.75" customHeight="1" x14ac:dyDescent="0.25">
      <c r="A77" s="46" t="s">
        <v>139</v>
      </c>
      <c r="B77" s="47">
        <f>820.64</f>
        <v>820.64</v>
      </c>
      <c r="C77" s="47">
        <f>690.76</f>
        <v>690.76</v>
      </c>
      <c r="D77" s="47">
        <f>1352.96</f>
        <v>1352.96</v>
      </c>
      <c r="E77" s="47">
        <f>380.65</f>
        <v>380.65</v>
      </c>
      <c r="F77" s="47">
        <f>68.51</f>
        <v>68.510000000000005</v>
      </c>
      <c r="G77" s="47">
        <f>144.06</f>
        <v>144.06</v>
      </c>
      <c r="H77" s="22">
        <f t="shared" si="40"/>
        <v>144.06</v>
      </c>
      <c r="I77" s="22">
        <f>2000</f>
        <v>2000</v>
      </c>
      <c r="J77" s="23" t="s">
        <v>33</v>
      </c>
      <c r="K77" s="24">
        <v>500</v>
      </c>
      <c r="L77" s="25">
        <v>500</v>
      </c>
      <c r="M77" s="26">
        <f t="shared" ref="M77:M80" si="41">L77</f>
        <v>500</v>
      </c>
      <c r="N77" s="24">
        <v>500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5.75" customHeight="1" x14ac:dyDescent="0.25">
      <c r="A78" s="46" t="s">
        <v>140</v>
      </c>
      <c r="B78" s="47"/>
      <c r="C78" s="47"/>
      <c r="D78" s="47"/>
      <c r="E78" s="47"/>
      <c r="F78" s="47"/>
      <c r="G78" s="47">
        <f>500</f>
        <v>500</v>
      </c>
      <c r="H78" s="22">
        <f t="shared" si="40"/>
        <v>500</v>
      </c>
      <c r="I78" s="22">
        <f t="shared" ref="I78:I80" si="42">800</f>
        <v>800</v>
      </c>
      <c r="J78" s="23" t="s">
        <v>25</v>
      </c>
      <c r="K78" s="24">
        <v>250</v>
      </c>
      <c r="L78" s="25">
        <v>900</v>
      </c>
      <c r="M78" s="26">
        <f t="shared" si="41"/>
        <v>900</v>
      </c>
      <c r="N78" s="24">
        <v>1000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5.75" customHeight="1" x14ac:dyDescent="0.25">
      <c r="A79" s="46" t="s">
        <v>141</v>
      </c>
      <c r="B79" s="47"/>
      <c r="C79" s="47"/>
      <c r="D79" s="47"/>
      <c r="E79" s="47"/>
      <c r="F79" s="47"/>
      <c r="G79" s="47"/>
      <c r="H79" s="22"/>
      <c r="I79" s="22">
        <f t="shared" si="42"/>
        <v>800</v>
      </c>
      <c r="J79" s="23" t="s">
        <v>25</v>
      </c>
      <c r="K79" s="24">
        <v>250</v>
      </c>
      <c r="L79" s="51">
        <v>250</v>
      </c>
      <c r="M79" s="26">
        <f t="shared" si="41"/>
        <v>250</v>
      </c>
      <c r="N79" s="24">
        <v>250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5.75" customHeight="1" x14ac:dyDescent="0.25">
      <c r="A80" s="46" t="s">
        <v>142</v>
      </c>
      <c r="B80" s="21"/>
      <c r="C80" s="21"/>
      <c r="D80" s="21"/>
      <c r="E80" s="47">
        <f t="shared" ref="E80:G80" si="43">600</f>
        <v>600</v>
      </c>
      <c r="F80" s="47">
        <f t="shared" si="43"/>
        <v>600</v>
      </c>
      <c r="G80" s="47">
        <f t="shared" si="43"/>
        <v>600</v>
      </c>
      <c r="H80" s="22">
        <f>G80</f>
        <v>600</v>
      </c>
      <c r="I80" s="22">
        <f t="shared" si="42"/>
        <v>800</v>
      </c>
      <c r="J80" s="23" t="s">
        <v>33</v>
      </c>
      <c r="K80" s="24">
        <v>800</v>
      </c>
      <c r="L80" s="25">
        <v>1095</v>
      </c>
      <c r="M80" s="26">
        <f t="shared" si="41"/>
        <v>1095</v>
      </c>
      <c r="N80" s="24">
        <v>1500</v>
      </c>
      <c r="O80" s="192" t="s">
        <v>143</v>
      </c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5.75" customHeight="1" x14ac:dyDescent="0.25">
      <c r="A81" s="122" t="s">
        <v>144</v>
      </c>
      <c r="B81" s="178">
        <f t="shared" ref="B81:H81" si="44">SUM(B73:B80)</f>
        <v>4267.82</v>
      </c>
      <c r="C81" s="178">
        <f t="shared" si="44"/>
        <v>4756.7300000000005</v>
      </c>
      <c r="D81" s="178">
        <f t="shared" si="44"/>
        <v>4984.0599999999995</v>
      </c>
      <c r="E81" s="178">
        <f t="shared" si="44"/>
        <v>3401.14</v>
      </c>
      <c r="F81" s="178">
        <f t="shared" si="44"/>
        <v>2365.02</v>
      </c>
      <c r="G81" s="178">
        <f t="shared" si="44"/>
        <v>2907.27</v>
      </c>
      <c r="H81" s="178">
        <f t="shared" si="44"/>
        <v>2907.27</v>
      </c>
      <c r="I81" s="178">
        <f>SUM(I74:I80)</f>
        <v>7585</v>
      </c>
      <c r="J81" s="179"/>
      <c r="K81" s="180">
        <f t="shared" ref="K81:L81" si="45">SUM(K73:K80)</f>
        <v>3700</v>
      </c>
      <c r="L81" s="193">
        <f t="shared" si="45"/>
        <v>3661.55</v>
      </c>
      <c r="M81" s="181">
        <f>SUM(M74:M80)</f>
        <v>3740.3130434782606</v>
      </c>
      <c r="N81" s="182">
        <f>SUM(N73:N80)</f>
        <v>4850</v>
      </c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</row>
    <row r="82" spans="1:31" ht="15.75" customHeight="1" x14ac:dyDescent="0.25">
      <c r="A82" s="46" t="s">
        <v>145</v>
      </c>
      <c r="B82" s="21"/>
      <c r="C82" s="21"/>
      <c r="D82" s="21"/>
      <c r="E82" s="21"/>
      <c r="F82" s="22"/>
      <c r="G82" s="21"/>
      <c r="H82" s="22"/>
      <c r="I82" s="22"/>
      <c r="J82" s="23"/>
      <c r="K82" s="24"/>
      <c r="L82" s="25"/>
      <c r="M82" s="26"/>
      <c r="N82" s="24"/>
      <c r="O82" s="194" t="s">
        <v>146</v>
      </c>
      <c r="P82" s="194" t="s">
        <v>147</v>
      </c>
      <c r="Q82" s="195" t="s">
        <v>148</v>
      </c>
      <c r="R82" s="194" t="s">
        <v>149</v>
      </c>
      <c r="S82" s="192" t="s">
        <v>150</v>
      </c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5.75" customHeight="1" x14ac:dyDescent="0.25">
      <c r="A83" s="133" t="s">
        <v>151</v>
      </c>
      <c r="B83" s="134"/>
      <c r="C83" s="134"/>
      <c r="D83" s="143">
        <f>3040</f>
        <v>3040</v>
      </c>
      <c r="E83" s="134"/>
      <c r="F83" s="135"/>
      <c r="G83" s="134"/>
      <c r="H83" s="135"/>
      <c r="I83" s="22"/>
      <c r="J83" s="60"/>
      <c r="K83" s="61"/>
      <c r="L83" s="62"/>
      <c r="M83" s="63"/>
      <c r="N83" s="64"/>
      <c r="O83" s="142"/>
      <c r="P83" s="142"/>
      <c r="Q83" s="195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</row>
    <row r="84" spans="1:31" ht="15.75" customHeight="1" x14ac:dyDescent="0.25">
      <c r="A84" s="83" t="s">
        <v>152</v>
      </c>
      <c r="B84" s="85">
        <f t="shared" ref="B84:D84" si="46">9547.2</f>
        <v>9547.2000000000007</v>
      </c>
      <c r="C84" s="85">
        <f t="shared" si="46"/>
        <v>9547.2000000000007</v>
      </c>
      <c r="D84" s="85">
        <f t="shared" si="46"/>
        <v>9547.2000000000007</v>
      </c>
      <c r="E84" s="85">
        <f>9803.88</f>
        <v>9803.8799999999992</v>
      </c>
      <c r="F84" s="85">
        <f>9913.14</f>
        <v>9913.14</v>
      </c>
      <c r="G84" s="85">
        <f>9965.46</f>
        <v>9965.4599999999991</v>
      </c>
      <c r="H84" s="82">
        <f t="shared" ref="H84:H85" si="47">G84</f>
        <v>9965.4599999999991</v>
      </c>
      <c r="I84" s="86">
        <f>9972.04</f>
        <v>9972.0400000000009</v>
      </c>
      <c r="J84" s="23" t="s">
        <v>28</v>
      </c>
      <c r="K84" s="87">
        <f>I84*Q84</f>
        <v>10370.921600000001</v>
      </c>
      <c r="L84" s="88">
        <v>9922.14</v>
      </c>
      <c r="M84" s="92">
        <f>L84+432.12</f>
        <v>10354.26</v>
      </c>
      <c r="N84" s="87">
        <f>K84*1.059</f>
        <v>10982.8059744</v>
      </c>
      <c r="O84" s="196"/>
      <c r="P84" s="90"/>
      <c r="Q84" s="197">
        <v>1.04</v>
      </c>
      <c r="R84" s="90"/>
      <c r="S84" s="198" t="s">
        <v>153</v>
      </c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</row>
    <row r="85" spans="1:31" ht="15.75" customHeight="1" x14ac:dyDescent="0.25">
      <c r="A85" s="83" t="s">
        <v>154</v>
      </c>
      <c r="B85" s="85">
        <f t="shared" ref="B85:D85" si="48">367.2</f>
        <v>367.2</v>
      </c>
      <c r="C85" s="85">
        <f t="shared" si="48"/>
        <v>367.2</v>
      </c>
      <c r="D85" s="85">
        <f t="shared" si="48"/>
        <v>367.2</v>
      </c>
      <c r="E85" s="85">
        <f>377.5</f>
        <v>377.5</v>
      </c>
      <c r="F85" s="85">
        <f>380.52</f>
        <v>380.52</v>
      </c>
      <c r="G85" s="85">
        <f>383.54</f>
        <v>383.54</v>
      </c>
      <c r="H85" s="82">
        <f t="shared" si="47"/>
        <v>383.54</v>
      </c>
      <c r="I85" s="86">
        <f>383.54</f>
        <v>383.54</v>
      </c>
      <c r="J85" s="23" t="s">
        <v>155</v>
      </c>
      <c r="K85" s="87">
        <f>(K84/52)*2</f>
        <v>398.88160000000005</v>
      </c>
      <c r="L85" s="88">
        <v>398.88</v>
      </c>
      <c r="M85" s="93">
        <f>L85</f>
        <v>398.88</v>
      </c>
      <c r="N85" s="94">
        <f>(N84/52)*2</f>
        <v>422.41561439999998</v>
      </c>
      <c r="O85" s="90"/>
      <c r="P85" s="90"/>
      <c r="Q85" s="197">
        <v>1.0129999999999999</v>
      </c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</row>
    <row r="86" spans="1:31" ht="15.75" customHeight="1" x14ac:dyDescent="0.25">
      <c r="A86" s="133" t="s">
        <v>156</v>
      </c>
      <c r="B86" s="199">
        <f t="shared" ref="B86:I86" si="49">SUM(B84:B85)</f>
        <v>9914.4000000000015</v>
      </c>
      <c r="C86" s="199">
        <f t="shared" si="49"/>
        <v>9914.4000000000015</v>
      </c>
      <c r="D86" s="199">
        <f t="shared" si="49"/>
        <v>9914.4000000000015</v>
      </c>
      <c r="E86" s="199">
        <f t="shared" si="49"/>
        <v>10181.379999999999</v>
      </c>
      <c r="F86" s="199">
        <f t="shared" si="49"/>
        <v>10293.66</v>
      </c>
      <c r="G86" s="199">
        <f t="shared" si="49"/>
        <v>10349</v>
      </c>
      <c r="H86" s="199">
        <f t="shared" si="49"/>
        <v>10349</v>
      </c>
      <c r="I86" s="199">
        <f t="shared" si="49"/>
        <v>10355.580000000002</v>
      </c>
      <c r="J86" s="200"/>
      <c r="K86" s="201">
        <f t="shared" ref="K86:N86" si="50">SUM(K84:K85)</f>
        <v>10769.803200000002</v>
      </c>
      <c r="L86" s="202">
        <f t="shared" si="50"/>
        <v>10321.019999999999</v>
      </c>
      <c r="M86" s="203">
        <f t="shared" si="50"/>
        <v>10753.14</v>
      </c>
      <c r="N86" s="204">
        <f t="shared" si="50"/>
        <v>11405.221588800001</v>
      </c>
      <c r="O86" s="90"/>
      <c r="P86" s="90"/>
      <c r="Q86" s="197">
        <v>1.0129999999999999</v>
      </c>
      <c r="R86" s="90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</row>
    <row r="87" spans="1:31" ht="15.75" customHeight="1" x14ac:dyDescent="0.25">
      <c r="A87" s="83" t="s">
        <v>157</v>
      </c>
      <c r="B87" s="85">
        <f t="shared" ref="B87:D87" si="51">9600</f>
        <v>9600</v>
      </c>
      <c r="C87" s="85">
        <f t="shared" si="51"/>
        <v>9600</v>
      </c>
      <c r="D87" s="85">
        <f t="shared" si="51"/>
        <v>9600</v>
      </c>
      <c r="E87" s="85">
        <f>3967.5</f>
        <v>3967.5</v>
      </c>
      <c r="F87" s="85">
        <f>4194.6</f>
        <v>4194.6000000000004</v>
      </c>
      <c r="G87" s="85">
        <f>4089.3</f>
        <v>4089.3</v>
      </c>
      <c r="H87" s="82">
        <f>G87</f>
        <v>4089.3</v>
      </c>
      <c r="I87" s="86">
        <f>6339.84</f>
        <v>6339.84</v>
      </c>
      <c r="J87" s="23" t="s">
        <v>28</v>
      </c>
      <c r="K87" s="87">
        <f>(O87*R87*52)+100*3</f>
        <v>4418.4000000000005</v>
      </c>
      <c r="L87" s="88">
        <v>3329.52</v>
      </c>
      <c r="M87" s="92">
        <f>L87/11.5*12</f>
        <v>3474.2817391304352</v>
      </c>
      <c r="N87" s="205">
        <f>(O87*S87*52)+100*3</f>
        <v>4661.3855999999996</v>
      </c>
      <c r="O87" s="206">
        <v>5</v>
      </c>
      <c r="P87" s="206">
        <v>15.24</v>
      </c>
      <c r="Q87" s="197">
        <v>1.0129999999999999</v>
      </c>
      <c r="R87" s="207">
        <f>P87+0.6</f>
        <v>15.84</v>
      </c>
      <c r="S87" s="90">
        <f>R87*1.059</f>
        <v>16.774559999999997</v>
      </c>
      <c r="T87" s="198">
        <v>5</v>
      </c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</row>
    <row r="88" spans="1:31" ht="15.75" customHeight="1" x14ac:dyDescent="0.25">
      <c r="A88" s="83" t="s">
        <v>158</v>
      </c>
      <c r="B88" s="85">
        <f>148.2</f>
        <v>148.19999999999999</v>
      </c>
      <c r="C88" s="85">
        <f>246.1</f>
        <v>246.1</v>
      </c>
      <c r="D88" s="85">
        <f>203.5</f>
        <v>203.5</v>
      </c>
      <c r="E88" s="85">
        <f>27.84</f>
        <v>27.84</v>
      </c>
      <c r="F88" s="86"/>
      <c r="G88" s="84"/>
      <c r="H88" s="86"/>
      <c r="I88" s="86">
        <f>230</f>
        <v>230</v>
      </c>
      <c r="J88" s="23" t="s">
        <v>33</v>
      </c>
      <c r="K88" s="87">
        <f>((50*6)+500)*0.575</f>
        <v>459.99999999999994</v>
      </c>
      <c r="L88" s="91">
        <v>40.54</v>
      </c>
      <c r="M88" s="93">
        <f>L88</f>
        <v>40.54</v>
      </c>
      <c r="N88" s="94">
        <f>((50*6)+500)*0.575</f>
        <v>459.99999999999994</v>
      </c>
      <c r="O88" s="90"/>
      <c r="P88" s="90"/>
      <c r="Q88" s="197">
        <v>1.0129999999999999</v>
      </c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</row>
    <row r="89" spans="1:31" ht="15.75" customHeight="1" x14ac:dyDescent="0.25">
      <c r="A89" s="133" t="s">
        <v>159</v>
      </c>
      <c r="B89" s="199">
        <f t="shared" ref="B89:I89" si="52">SUM(B87:B88)</f>
        <v>9748.2000000000007</v>
      </c>
      <c r="C89" s="199">
        <f t="shared" si="52"/>
        <v>9846.1</v>
      </c>
      <c r="D89" s="199">
        <f t="shared" si="52"/>
        <v>9803.5</v>
      </c>
      <c r="E89" s="199">
        <f t="shared" si="52"/>
        <v>3995.34</v>
      </c>
      <c r="F89" s="199">
        <f t="shared" si="52"/>
        <v>4194.6000000000004</v>
      </c>
      <c r="G89" s="199">
        <f t="shared" si="52"/>
        <v>4089.3</v>
      </c>
      <c r="H89" s="199">
        <f t="shared" si="52"/>
        <v>4089.3</v>
      </c>
      <c r="I89" s="199">
        <f t="shared" si="52"/>
        <v>6569.84</v>
      </c>
      <c r="J89" s="200"/>
      <c r="K89" s="201">
        <f t="shared" ref="K89:N89" si="53">SUM(K87:K88)</f>
        <v>4878.4000000000005</v>
      </c>
      <c r="L89" s="202">
        <f t="shared" si="53"/>
        <v>3370.06</v>
      </c>
      <c r="M89" s="203">
        <f t="shared" si="53"/>
        <v>3514.8217391304352</v>
      </c>
      <c r="N89" s="204">
        <f t="shared" si="53"/>
        <v>5121.3855999999996</v>
      </c>
      <c r="O89" s="90"/>
      <c r="P89" s="90"/>
      <c r="Q89" s="197">
        <v>1.0129999999999999</v>
      </c>
      <c r="R89" s="90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</row>
    <row r="90" spans="1:31" ht="15.75" customHeight="1" x14ac:dyDescent="0.25">
      <c r="A90" s="363" t="s">
        <v>665</v>
      </c>
      <c r="B90" s="143">
        <f>11396.25</f>
        <v>11396.25</v>
      </c>
      <c r="C90" s="143">
        <f>10575</f>
        <v>10575</v>
      </c>
      <c r="D90" s="143">
        <f>10650</f>
        <v>10650</v>
      </c>
      <c r="E90" s="143">
        <f>8553.26</f>
        <v>8553.26</v>
      </c>
      <c r="F90" s="143">
        <f>9068.67</f>
        <v>9068.67</v>
      </c>
      <c r="G90" s="143">
        <f>10527.14</f>
        <v>10527.14</v>
      </c>
      <c r="H90" s="135">
        <f t="shared" ref="H90:H96" si="54">G90</f>
        <v>10527.14</v>
      </c>
      <c r="I90" s="135">
        <f>12222.6</f>
        <v>12222.6</v>
      </c>
      <c r="J90" s="136" t="s">
        <v>28</v>
      </c>
      <c r="K90" s="137">
        <f>O90*R90*52</f>
        <v>12690.599999999999</v>
      </c>
      <c r="L90" s="144">
        <v>12091.02</v>
      </c>
      <c r="M90" s="139">
        <f>L90+528.8</f>
        <v>12619.82</v>
      </c>
      <c r="N90" s="140">
        <f>S90*52*T90</f>
        <v>20800</v>
      </c>
      <c r="O90" s="208">
        <v>15</v>
      </c>
      <c r="P90" s="194">
        <v>15.67</v>
      </c>
      <c r="Q90" s="197">
        <v>1.0129999999999999</v>
      </c>
      <c r="R90" s="207">
        <f t="shared" ref="R90:R96" si="55">P90+0.6</f>
        <v>16.27</v>
      </c>
      <c r="S90" s="142">
        <v>20</v>
      </c>
      <c r="T90" s="209">
        <v>20</v>
      </c>
      <c r="U90" s="150" t="s">
        <v>160</v>
      </c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</row>
    <row r="91" spans="1:31" ht="15.75" customHeight="1" x14ac:dyDescent="0.25">
      <c r="A91" s="133" t="s">
        <v>161</v>
      </c>
      <c r="B91" s="143">
        <f>1286.25</f>
        <v>1286.25</v>
      </c>
      <c r="C91" s="143">
        <f>1461.15</f>
        <v>1461.15</v>
      </c>
      <c r="D91" s="143">
        <f>1702.65</f>
        <v>1702.65</v>
      </c>
      <c r="E91" s="143">
        <f>2381.85</f>
        <v>2381.85</v>
      </c>
      <c r="F91" s="143">
        <f>2254.2</f>
        <v>2254.1999999999998</v>
      </c>
      <c r="G91" s="143">
        <f>1971.78</f>
        <v>1971.78</v>
      </c>
      <c r="H91" s="135">
        <f t="shared" si="54"/>
        <v>1971.78</v>
      </c>
      <c r="I91" s="135">
        <f>3330.72</f>
        <v>3330.72</v>
      </c>
      <c r="J91" s="136" t="s">
        <v>28</v>
      </c>
      <c r="K91" s="137">
        <f>(O91*R91*28)</f>
        <v>1345.68</v>
      </c>
      <c r="L91" s="144">
        <v>1350.18</v>
      </c>
      <c r="M91" s="139">
        <f>L91+28.04</f>
        <v>1378.22</v>
      </c>
      <c r="N91" s="140">
        <v>0</v>
      </c>
      <c r="O91" s="208">
        <v>3</v>
      </c>
      <c r="P91" s="194">
        <v>15.42</v>
      </c>
      <c r="Q91" s="197">
        <v>1.0129999999999999</v>
      </c>
      <c r="R91" s="207">
        <f t="shared" si="55"/>
        <v>16.02</v>
      </c>
      <c r="S91" s="210">
        <f t="shared" ref="S91:S96" si="56">R91*1.059</f>
        <v>16.96518</v>
      </c>
      <c r="T91" s="209">
        <v>0</v>
      </c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</row>
    <row r="92" spans="1:31" ht="15.75" customHeight="1" x14ac:dyDescent="0.25">
      <c r="A92" s="133" t="s">
        <v>162</v>
      </c>
      <c r="B92" s="143">
        <f t="shared" ref="B92:C92" si="57">2599.92</f>
        <v>2599.92</v>
      </c>
      <c r="C92" s="143">
        <f t="shared" si="57"/>
        <v>2599.92</v>
      </c>
      <c r="D92" s="143">
        <f>2849.24</f>
        <v>2849.24</v>
      </c>
      <c r="E92" s="143">
        <f>6223.14</f>
        <v>6223.14</v>
      </c>
      <c r="F92" s="143">
        <f>9218.8</f>
        <v>9218.7999999999993</v>
      </c>
      <c r="G92" s="143">
        <f>10676.77</f>
        <v>10676.77</v>
      </c>
      <c r="H92" s="135">
        <f t="shared" si="54"/>
        <v>10676.77</v>
      </c>
      <c r="I92" s="135">
        <f>9464.68</f>
        <v>9464.68</v>
      </c>
      <c r="J92" s="136" t="s">
        <v>28</v>
      </c>
      <c r="K92" s="137">
        <f t="shared" ref="K92:K95" si="58">O92*R92*52</f>
        <v>10998.52</v>
      </c>
      <c r="L92" s="144">
        <v>10199.56</v>
      </c>
      <c r="M92" s="139">
        <f>L92+458.3</f>
        <v>10657.859999999999</v>
      </c>
      <c r="N92" s="140">
        <f>T92*S92*52</f>
        <v>13439.345399999998</v>
      </c>
      <c r="O92" s="208">
        <v>13</v>
      </c>
      <c r="P92" s="194">
        <v>15.67</v>
      </c>
      <c r="Q92" s="197">
        <v>1.0129999999999999</v>
      </c>
      <c r="R92" s="207">
        <f t="shared" si="55"/>
        <v>16.27</v>
      </c>
      <c r="S92" s="210">
        <f t="shared" si="56"/>
        <v>17.22993</v>
      </c>
      <c r="T92" s="209">
        <v>15</v>
      </c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</row>
    <row r="93" spans="1:31" ht="15.75" customHeight="1" x14ac:dyDescent="0.25">
      <c r="A93" s="133" t="s">
        <v>163</v>
      </c>
      <c r="B93" s="143">
        <f>2308</f>
        <v>2308</v>
      </c>
      <c r="C93" s="143">
        <f>1590.73</f>
        <v>1590.73</v>
      </c>
      <c r="D93" s="143">
        <f>2579.14</f>
        <v>2579.14</v>
      </c>
      <c r="E93" s="143">
        <f>1705.47</f>
        <v>1705.47</v>
      </c>
      <c r="F93" s="143">
        <f>1376.25</f>
        <v>1376.25</v>
      </c>
      <c r="G93" s="143">
        <f>1361.25</f>
        <v>1361.25</v>
      </c>
      <c r="H93" s="135">
        <f t="shared" si="54"/>
        <v>1361.25</v>
      </c>
      <c r="I93" s="135">
        <f>3120</f>
        <v>3120</v>
      </c>
      <c r="J93" s="136" t="s">
        <v>28</v>
      </c>
      <c r="K93" s="137">
        <f t="shared" si="58"/>
        <v>3244.7999999999997</v>
      </c>
      <c r="L93" s="144">
        <v>2298.61</v>
      </c>
      <c r="M93" s="139">
        <f>L93+135.2</f>
        <v>2433.81</v>
      </c>
      <c r="N93" s="140">
        <f t="shared" ref="N93:N94" si="59">O93*S93*52</f>
        <v>3436.2431999999999</v>
      </c>
      <c r="O93" s="194">
        <v>4</v>
      </c>
      <c r="P93" s="194">
        <v>15</v>
      </c>
      <c r="Q93" s="197">
        <v>1.0129999999999999</v>
      </c>
      <c r="R93" s="207">
        <f t="shared" si="55"/>
        <v>15.6</v>
      </c>
      <c r="S93" s="210">
        <f t="shared" si="56"/>
        <v>16.520399999999999</v>
      </c>
      <c r="T93" s="209">
        <v>4</v>
      </c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</row>
    <row r="94" spans="1:31" ht="15.75" customHeight="1" x14ac:dyDescent="0.25">
      <c r="A94" s="133" t="s">
        <v>164</v>
      </c>
      <c r="B94" s="143">
        <f>6236.25</f>
        <v>6236.25</v>
      </c>
      <c r="C94" s="143">
        <f>6075</f>
        <v>6075</v>
      </c>
      <c r="D94" s="143">
        <f>5655</f>
        <v>5655</v>
      </c>
      <c r="E94" s="143">
        <f>7171.7</f>
        <v>7171.7</v>
      </c>
      <c r="F94" s="143">
        <f>9178.54</f>
        <v>9178.5400000000009</v>
      </c>
      <c r="G94" s="143">
        <f>10330.67</f>
        <v>10330.67</v>
      </c>
      <c r="H94" s="135">
        <f t="shared" si="54"/>
        <v>10330.67</v>
      </c>
      <c r="I94" s="135">
        <f>8148.4</f>
        <v>8148.4</v>
      </c>
      <c r="J94" s="136" t="s">
        <v>28</v>
      </c>
      <c r="K94" s="137">
        <f t="shared" si="58"/>
        <v>10998.52</v>
      </c>
      <c r="L94" s="144">
        <v>10298.43</v>
      </c>
      <c r="M94" s="139">
        <f>L94+458.3</f>
        <v>10756.73</v>
      </c>
      <c r="N94" s="140">
        <f t="shared" si="59"/>
        <v>11647.43268</v>
      </c>
      <c r="O94" s="194">
        <v>13</v>
      </c>
      <c r="P94" s="194">
        <v>15.67</v>
      </c>
      <c r="Q94" s="197">
        <v>1.0129999999999999</v>
      </c>
      <c r="R94" s="207">
        <f t="shared" si="55"/>
        <v>16.27</v>
      </c>
      <c r="S94" s="210">
        <f t="shared" si="56"/>
        <v>17.22993</v>
      </c>
      <c r="T94" s="209">
        <v>13</v>
      </c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</row>
    <row r="95" spans="1:31" ht="15.75" customHeight="1" x14ac:dyDescent="0.25">
      <c r="A95" s="133" t="s">
        <v>165</v>
      </c>
      <c r="B95" s="134"/>
      <c r="C95" s="134"/>
      <c r="D95" s="134"/>
      <c r="E95" s="143">
        <f>1464.92</f>
        <v>1464.92</v>
      </c>
      <c r="F95" s="143">
        <f>2702.37</f>
        <v>2702.37</v>
      </c>
      <c r="G95" s="143">
        <f>2302.69</f>
        <v>2302.69</v>
      </c>
      <c r="H95" s="135">
        <f t="shared" si="54"/>
        <v>2302.69</v>
      </c>
      <c r="I95" s="135">
        <f>4009.2</f>
        <v>4009.2</v>
      </c>
      <c r="J95" s="136" t="s">
        <v>28</v>
      </c>
      <c r="K95" s="137">
        <f t="shared" si="58"/>
        <v>3332.16</v>
      </c>
      <c r="L95" s="144">
        <v>1048.27</v>
      </c>
      <c r="M95" s="139">
        <f>L95/11.5*12</f>
        <v>1093.846956521739</v>
      </c>
      <c r="N95" s="163">
        <v>0</v>
      </c>
      <c r="O95" s="208">
        <v>4</v>
      </c>
      <c r="P95" s="194">
        <v>15.42</v>
      </c>
      <c r="Q95" s="197">
        <v>1.0129999999999999</v>
      </c>
      <c r="R95" s="207">
        <f t="shared" si="55"/>
        <v>16.02</v>
      </c>
      <c r="S95" s="210">
        <f t="shared" si="56"/>
        <v>16.96518</v>
      </c>
      <c r="T95" s="209">
        <v>0</v>
      </c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</row>
    <row r="96" spans="1:31" ht="15.75" customHeight="1" x14ac:dyDescent="0.25">
      <c r="A96" s="133" t="s">
        <v>166</v>
      </c>
      <c r="B96" s="134"/>
      <c r="C96" s="134"/>
      <c r="D96" s="134"/>
      <c r="E96" s="143">
        <f>4236.3</f>
        <v>4236.3</v>
      </c>
      <c r="F96" s="143">
        <f>3685.9</f>
        <v>3685.9</v>
      </c>
      <c r="G96" s="143">
        <f>3757</f>
        <v>3757</v>
      </c>
      <c r="H96" s="135">
        <f t="shared" si="54"/>
        <v>3757</v>
      </c>
      <c r="I96" s="135">
        <f>4074.2</f>
        <v>4074.2</v>
      </c>
      <c r="J96" s="136" t="s">
        <v>28</v>
      </c>
      <c r="K96" s="137">
        <f>(R96*17*5)+(R96*35*6)+(R96*10*2)</f>
        <v>5229</v>
      </c>
      <c r="L96" s="144">
        <v>5290</v>
      </c>
      <c r="M96" s="211">
        <f>L96+435.75</f>
        <v>5725.75</v>
      </c>
      <c r="N96" s="212">
        <f>T96*S96*52</f>
        <v>5484.7727999999997</v>
      </c>
      <c r="O96" s="208" t="s">
        <v>167</v>
      </c>
      <c r="P96" s="194">
        <v>16</v>
      </c>
      <c r="Q96" s="197">
        <v>1.0129999999999999</v>
      </c>
      <c r="R96" s="207">
        <f t="shared" si="55"/>
        <v>16.600000000000001</v>
      </c>
      <c r="S96" s="210">
        <f t="shared" si="56"/>
        <v>17.5794</v>
      </c>
      <c r="T96" s="209">
        <v>6</v>
      </c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</row>
    <row r="97" spans="1:31" ht="15.75" customHeight="1" x14ac:dyDescent="0.25">
      <c r="A97" s="122" t="s">
        <v>168</v>
      </c>
      <c r="B97" s="178">
        <f t="shared" ref="B97:H97" si="60">B83+B86+B89+SUM(B90:B96)</f>
        <v>43489.270000000004</v>
      </c>
      <c r="C97" s="178">
        <f t="shared" si="60"/>
        <v>42062.3</v>
      </c>
      <c r="D97" s="178">
        <f t="shared" si="60"/>
        <v>46193.93</v>
      </c>
      <c r="E97" s="178">
        <f t="shared" si="60"/>
        <v>45913.36</v>
      </c>
      <c r="F97" s="178">
        <f t="shared" si="60"/>
        <v>51972.990000000005</v>
      </c>
      <c r="G97" s="178">
        <f t="shared" si="60"/>
        <v>55365.600000000006</v>
      </c>
      <c r="H97" s="178">
        <f t="shared" si="60"/>
        <v>55365.600000000006</v>
      </c>
      <c r="I97" s="178">
        <f>I86+SUM(I89:I96)</f>
        <v>61295.22</v>
      </c>
      <c r="J97" s="179"/>
      <c r="K97" s="180">
        <f t="shared" ref="K97:L97" si="61">K83+K86+K89+SUM(K90:K96)</f>
        <v>63487.483200000002</v>
      </c>
      <c r="L97" s="193">
        <f t="shared" si="61"/>
        <v>56267.149999999994</v>
      </c>
      <c r="M97" s="181">
        <f>SUM(M89:M96,M86)</f>
        <v>58933.998695652175</v>
      </c>
      <c r="N97" s="182">
        <f>N83+N86+N89+SUM(N90:N96)</f>
        <v>71334.401268799993</v>
      </c>
      <c r="O97" s="131" t="s">
        <v>169</v>
      </c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</row>
    <row r="98" spans="1:31" ht="15.75" customHeight="1" x14ac:dyDescent="0.25">
      <c r="A98" s="46" t="s">
        <v>170</v>
      </c>
      <c r="B98" s="21"/>
      <c r="C98" s="21"/>
      <c r="D98" s="21"/>
      <c r="E98" s="21"/>
      <c r="F98" s="22"/>
      <c r="G98" s="21"/>
      <c r="H98" s="22"/>
      <c r="I98" s="22"/>
      <c r="J98" s="23"/>
      <c r="K98" s="24"/>
      <c r="L98" s="25">
        <v>50</v>
      </c>
      <c r="M98" s="26">
        <f>L98</f>
        <v>50</v>
      </c>
      <c r="N98" s="2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5.75" customHeight="1" x14ac:dyDescent="0.25">
      <c r="A99" s="213" t="s">
        <v>171</v>
      </c>
      <c r="B99" s="84"/>
      <c r="C99" s="85"/>
      <c r="D99" s="84"/>
      <c r="E99" s="84"/>
      <c r="F99" s="86"/>
      <c r="G99" s="84"/>
      <c r="H99" s="86"/>
      <c r="I99" s="86"/>
      <c r="J99" s="23"/>
      <c r="K99" s="87"/>
      <c r="L99" s="91"/>
      <c r="M99" s="92"/>
      <c r="N99" s="87">
        <f>(52*3*25)+(25*2*2)</f>
        <v>4000</v>
      </c>
      <c r="O99" s="198" t="s">
        <v>172</v>
      </c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</row>
    <row r="100" spans="1:31" ht="15.75" customHeight="1" x14ac:dyDescent="0.25">
      <c r="A100" s="83" t="s">
        <v>173</v>
      </c>
      <c r="B100" s="84"/>
      <c r="C100" s="85">
        <f>100</f>
        <v>100</v>
      </c>
      <c r="D100" s="84"/>
      <c r="E100" s="84"/>
      <c r="F100" s="86"/>
      <c r="G100" s="84"/>
      <c r="H100" s="86"/>
      <c r="I100" s="86"/>
      <c r="J100" s="23"/>
      <c r="K100" s="87"/>
      <c r="L100" s="91"/>
      <c r="M100" s="92"/>
      <c r="N100" s="87">
        <v>0</v>
      </c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</row>
    <row r="101" spans="1:31" ht="15.75" customHeight="1" x14ac:dyDescent="0.25">
      <c r="A101" s="83" t="s">
        <v>174</v>
      </c>
      <c r="B101" s="85">
        <f>130.05</f>
        <v>130.05000000000001</v>
      </c>
      <c r="C101" s="84"/>
      <c r="D101" s="85">
        <f>50</f>
        <v>50</v>
      </c>
      <c r="E101" s="85">
        <f>373.14</f>
        <v>373.14</v>
      </c>
      <c r="F101" s="85">
        <f>323.14</f>
        <v>323.14</v>
      </c>
      <c r="G101" s="84"/>
      <c r="H101" s="86"/>
      <c r="I101" s="86">
        <f>100</f>
        <v>100</v>
      </c>
      <c r="J101" s="23"/>
      <c r="K101" s="87"/>
      <c r="L101" s="91"/>
      <c r="M101" s="92"/>
      <c r="N101" s="87">
        <v>0</v>
      </c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</row>
    <row r="102" spans="1:31" ht="15.75" customHeight="1" x14ac:dyDescent="0.25">
      <c r="A102" s="83" t="s">
        <v>175</v>
      </c>
      <c r="B102" s="84"/>
      <c r="C102" s="84"/>
      <c r="D102" s="84"/>
      <c r="E102" s="84"/>
      <c r="F102" s="86"/>
      <c r="G102" s="84"/>
      <c r="H102" s="86"/>
      <c r="I102" s="86"/>
      <c r="J102" s="23"/>
      <c r="K102" s="87"/>
      <c r="L102" s="91"/>
      <c r="M102" s="92"/>
      <c r="N102" s="87">
        <v>0</v>
      </c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</row>
    <row r="103" spans="1:31" ht="15.75" customHeight="1" x14ac:dyDescent="0.25">
      <c r="A103" s="122" t="s">
        <v>176</v>
      </c>
      <c r="B103" s="178">
        <f t="shared" ref="B103:H103" si="62">SUM(B98:B102)</f>
        <v>130.05000000000001</v>
      </c>
      <c r="C103" s="178">
        <f t="shared" si="62"/>
        <v>100</v>
      </c>
      <c r="D103" s="178">
        <f t="shared" si="62"/>
        <v>50</v>
      </c>
      <c r="E103" s="178">
        <f t="shared" si="62"/>
        <v>373.14</v>
      </c>
      <c r="F103" s="178">
        <f t="shared" si="62"/>
        <v>323.14</v>
      </c>
      <c r="G103" s="178">
        <f t="shared" si="62"/>
        <v>0</v>
      </c>
      <c r="H103" s="178">
        <f t="shared" si="62"/>
        <v>0</v>
      </c>
      <c r="I103" s="178">
        <f>SUM(I100:I102)</f>
        <v>100</v>
      </c>
      <c r="J103" s="179"/>
      <c r="K103" s="364">
        <f t="shared" ref="K103:N103" si="63">SUM(K98:K102)</f>
        <v>0</v>
      </c>
      <c r="L103" s="365">
        <f t="shared" si="63"/>
        <v>50</v>
      </c>
      <c r="M103" s="366">
        <f t="shared" si="63"/>
        <v>50</v>
      </c>
      <c r="N103" s="364">
        <f t="shared" si="63"/>
        <v>4000</v>
      </c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</row>
    <row r="104" spans="1:31" ht="15.75" customHeight="1" x14ac:dyDescent="0.25">
      <c r="A104" s="46" t="s">
        <v>177</v>
      </c>
      <c r="B104" s="47">
        <f>750</f>
        <v>750</v>
      </c>
      <c r="C104" s="47">
        <f>800</f>
        <v>800</v>
      </c>
      <c r="D104" s="47">
        <f>640</f>
        <v>640</v>
      </c>
      <c r="E104" s="47">
        <f t="shared" ref="E104:F104" si="64">320</f>
        <v>320</v>
      </c>
      <c r="F104" s="47">
        <f t="shared" si="64"/>
        <v>320</v>
      </c>
      <c r="G104" s="47">
        <f>640</f>
        <v>640</v>
      </c>
      <c r="H104" s="55">
        <f>G104</f>
        <v>640</v>
      </c>
      <c r="I104" s="22">
        <f>960</f>
        <v>960</v>
      </c>
      <c r="J104" s="23" t="s">
        <v>33</v>
      </c>
      <c r="K104" s="24">
        <f>160*6</f>
        <v>960</v>
      </c>
      <c r="L104" s="51">
        <v>820</v>
      </c>
      <c r="M104" s="26">
        <f t="shared" ref="M104:M105" si="65">L104</f>
        <v>820</v>
      </c>
      <c r="N104" s="24">
        <f>185*6</f>
        <v>1110</v>
      </c>
      <c r="O104" s="1" t="s">
        <v>178</v>
      </c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5.75" customHeight="1" x14ac:dyDescent="0.25">
      <c r="A105" s="46" t="s">
        <v>179</v>
      </c>
      <c r="B105" s="47">
        <f>79.28</f>
        <v>79.28</v>
      </c>
      <c r="C105" s="47">
        <f>97.05</f>
        <v>97.05</v>
      </c>
      <c r="D105" s="47">
        <f>122.7</f>
        <v>122.7</v>
      </c>
      <c r="E105" s="47">
        <f>72.04</f>
        <v>72.040000000000006</v>
      </c>
      <c r="F105" s="22"/>
      <c r="G105" s="21"/>
      <c r="H105" s="22"/>
      <c r="I105" s="22">
        <f>100</f>
        <v>100</v>
      </c>
      <c r="J105" s="23"/>
      <c r="K105" s="24"/>
      <c r="L105" s="25">
        <v>31.92</v>
      </c>
      <c r="M105" s="26">
        <f t="shared" si="65"/>
        <v>31.92</v>
      </c>
      <c r="N105" s="2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5.75" customHeight="1" x14ac:dyDescent="0.25">
      <c r="A106" s="122" t="s">
        <v>180</v>
      </c>
      <c r="B106" s="178">
        <f t="shared" ref="B106:I106" si="66">SUM(B104:B105)</f>
        <v>829.28</v>
      </c>
      <c r="C106" s="178">
        <f t="shared" si="66"/>
        <v>897.05</v>
      </c>
      <c r="D106" s="178">
        <f t="shared" si="66"/>
        <v>762.7</v>
      </c>
      <c r="E106" s="178">
        <f t="shared" si="66"/>
        <v>392.04</v>
      </c>
      <c r="F106" s="178">
        <f t="shared" si="66"/>
        <v>320</v>
      </c>
      <c r="G106" s="178">
        <f t="shared" si="66"/>
        <v>640</v>
      </c>
      <c r="H106" s="178">
        <f t="shared" si="66"/>
        <v>640</v>
      </c>
      <c r="I106" s="178">
        <f t="shared" si="66"/>
        <v>1060</v>
      </c>
      <c r="J106" s="179"/>
      <c r="K106" s="180">
        <f t="shared" ref="K106:N106" si="67">SUM(K104:K105)</f>
        <v>960</v>
      </c>
      <c r="L106" s="193">
        <f t="shared" si="67"/>
        <v>851.92</v>
      </c>
      <c r="M106" s="181">
        <f t="shared" si="67"/>
        <v>851.92</v>
      </c>
      <c r="N106" s="182">
        <f t="shared" si="67"/>
        <v>1110</v>
      </c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  <c r="AB106" s="131"/>
      <c r="AC106" s="131"/>
      <c r="AD106" s="131"/>
      <c r="AE106" s="131"/>
    </row>
    <row r="107" spans="1:31" ht="15.75" hidden="1" customHeight="1" x14ac:dyDescent="0.25">
      <c r="A107" s="122" t="s">
        <v>181</v>
      </c>
      <c r="B107" s="125"/>
      <c r="C107" s="125"/>
      <c r="D107" s="125"/>
      <c r="E107" s="125"/>
      <c r="F107" s="124"/>
      <c r="G107" s="125"/>
      <c r="H107" s="124"/>
      <c r="I107" s="59"/>
      <c r="J107" s="60"/>
      <c r="K107" s="61"/>
      <c r="L107" s="62"/>
      <c r="M107" s="63"/>
      <c r="N107" s="64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</row>
    <row r="108" spans="1:31" ht="15.75" hidden="1" customHeight="1" x14ac:dyDescent="0.25">
      <c r="A108" s="46" t="s">
        <v>182</v>
      </c>
      <c r="B108" s="21"/>
      <c r="C108" s="21"/>
      <c r="D108" s="21"/>
      <c r="E108" s="21"/>
      <c r="F108" s="22"/>
      <c r="G108" s="21"/>
      <c r="H108" s="22"/>
      <c r="I108" s="59"/>
      <c r="J108" s="60"/>
      <c r="K108" s="61"/>
      <c r="L108" s="62"/>
      <c r="M108" s="63"/>
      <c r="N108" s="6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5.75" hidden="1" customHeight="1" x14ac:dyDescent="0.25">
      <c r="A109" s="46" t="s">
        <v>183</v>
      </c>
      <c r="B109" s="21"/>
      <c r="C109" s="21"/>
      <c r="D109" s="21"/>
      <c r="E109" s="21"/>
      <c r="F109" s="22"/>
      <c r="G109" s="21"/>
      <c r="H109" s="22"/>
      <c r="I109" s="59"/>
      <c r="J109" s="60"/>
      <c r="K109" s="61"/>
      <c r="L109" s="62"/>
      <c r="M109" s="63"/>
      <c r="N109" s="6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5.75" hidden="1" customHeight="1" x14ac:dyDescent="0.25">
      <c r="A110" s="122" t="s">
        <v>184</v>
      </c>
      <c r="B110" s="178">
        <f t="shared" ref="B110:G110" si="68">(B108)+(B109)</f>
        <v>0</v>
      </c>
      <c r="C110" s="178">
        <f t="shared" si="68"/>
        <v>0</v>
      </c>
      <c r="D110" s="178">
        <f t="shared" si="68"/>
        <v>0</v>
      </c>
      <c r="E110" s="178">
        <f t="shared" si="68"/>
        <v>0</v>
      </c>
      <c r="F110" s="178">
        <f t="shared" si="68"/>
        <v>0</v>
      </c>
      <c r="G110" s="178">
        <f t="shared" si="68"/>
        <v>0</v>
      </c>
      <c r="H110" s="124"/>
      <c r="I110" s="59"/>
      <c r="J110" s="60"/>
      <c r="K110" s="61"/>
      <c r="L110" s="62"/>
      <c r="M110" s="63"/>
      <c r="N110" s="64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1"/>
    </row>
    <row r="111" spans="1:31" ht="15.75" customHeight="1" x14ac:dyDescent="0.25">
      <c r="A111" s="122" t="s">
        <v>185</v>
      </c>
      <c r="B111" s="123">
        <f>3315.6</f>
        <v>3315.6</v>
      </c>
      <c r="C111" s="123">
        <f>3198.94</f>
        <v>3198.94</v>
      </c>
      <c r="D111" s="123">
        <f>3285.72</f>
        <v>3285.72</v>
      </c>
      <c r="E111" s="123">
        <f>3510.21</f>
        <v>3510.21</v>
      </c>
      <c r="F111" s="123">
        <f>3975.93</f>
        <v>3975.93</v>
      </c>
      <c r="G111" s="123">
        <f>4274.27</f>
        <v>4274.2700000000004</v>
      </c>
      <c r="H111" s="124">
        <f t="shared" ref="H111:H114" si="69">G111</f>
        <v>4274.2700000000004</v>
      </c>
      <c r="I111" s="124">
        <f>4671.49</f>
        <v>4671.49</v>
      </c>
      <c r="J111" s="126" t="s">
        <v>28</v>
      </c>
      <c r="K111" s="127">
        <f>(K97-K88)*0.0765</f>
        <v>4821.6024648000002</v>
      </c>
      <c r="L111" s="132">
        <v>4215.4799999999996</v>
      </c>
      <c r="M111" s="129">
        <f t="shared" ref="M111:N111" si="70">(M97-M88)*0.0765</f>
        <v>4505.3495902173909</v>
      </c>
      <c r="N111" s="130">
        <f t="shared" si="70"/>
        <v>5421.891697063199</v>
      </c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</row>
    <row r="112" spans="1:31" ht="15.75" customHeight="1" x14ac:dyDescent="0.25">
      <c r="A112" s="122" t="s">
        <v>186</v>
      </c>
      <c r="B112" s="123">
        <f>72</f>
        <v>72</v>
      </c>
      <c r="C112" s="123">
        <f>120</f>
        <v>120</v>
      </c>
      <c r="D112" s="123">
        <f>72</f>
        <v>72</v>
      </c>
      <c r="E112" s="123">
        <f>48</f>
        <v>48</v>
      </c>
      <c r="F112" s="123">
        <f>36</f>
        <v>36</v>
      </c>
      <c r="G112" s="123">
        <f>12</f>
        <v>12</v>
      </c>
      <c r="H112" s="124">
        <f t="shared" si="69"/>
        <v>12</v>
      </c>
      <c r="I112" s="124">
        <f>48</f>
        <v>48</v>
      </c>
      <c r="J112" s="126" t="s">
        <v>187</v>
      </c>
      <c r="K112" s="127">
        <f>8*3</f>
        <v>24</v>
      </c>
      <c r="L112" s="128">
        <v>164.22</v>
      </c>
      <c r="M112" s="129">
        <f t="shared" ref="M112:M113" si="71">L112</f>
        <v>164.22</v>
      </c>
      <c r="N112" s="130">
        <f>8*3</f>
        <v>24</v>
      </c>
      <c r="O112" s="131" t="s">
        <v>188</v>
      </c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  <c r="AA112" s="131"/>
      <c r="AB112" s="131"/>
      <c r="AC112" s="131"/>
      <c r="AD112" s="131"/>
      <c r="AE112" s="131"/>
    </row>
    <row r="113" spans="1:31" ht="15.75" customHeight="1" x14ac:dyDescent="0.25">
      <c r="A113" s="122" t="s">
        <v>189</v>
      </c>
      <c r="B113" s="125"/>
      <c r="C113" s="125"/>
      <c r="D113" s="125"/>
      <c r="E113" s="123">
        <f>823.44</f>
        <v>823.44</v>
      </c>
      <c r="F113" s="123">
        <f>602.98</f>
        <v>602.98</v>
      </c>
      <c r="G113" s="123">
        <f>307.66</f>
        <v>307.66000000000003</v>
      </c>
      <c r="H113" s="124">
        <f t="shared" si="69"/>
        <v>307.66000000000003</v>
      </c>
      <c r="I113" s="124">
        <f>450</f>
        <v>450</v>
      </c>
      <c r="J113" s="126" t="s">
        <v>190</v>
      </c>
      <c r="K113" s="127">
        <f>9*50</f>
        <v>450</v>
      </c>
      <c r="L113" s="132">
        <v>896.88</v>
      </c>
      <c r="M113" s="129">
        <f t="shared" si="71"/>
        <v>896.88</v>
      </c>
      <c r="N113" s="130">
        <f>7*50</f>
        <v>350</v>
      </c>
      <c r="O113" s="214" t="s">
        <v>191</v>
      </c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</row>
    <row r="114" spans="1:31" ht="15.75" customHeight="1" x14ac:dyDescent="0.25">
      <c r="A114" s="122" t="s">
        <v>192</v>
      </c>
      <c r="B114" s="125"/>
      <c r="C114" s="125"/>
      <c r="D114" s="125"/>
      <c r="E114" s="125"/>
      <c r="F114" s="123">
        <f t="shared" ref="F114:G114" si="72">18.26</f>
        <v>18.260000000000002</v>
      </c>
      <c r="G114" s="123">
        <f t="shared" si="72"/>
        <v>18.260000000000002</v>
      </c>
      <c r="H114" s="124">
        <f t="shared" si="69"/>
        <v>18.260000000000002</v>
      </c>
      <c r="I114" s="124">
        <f>500</f>
        <v>500</v>
      </c>
      <c r="J114" s="126"/>
      <c r="K114" s="127"/>
      <c r="L114" s="128"/>
      <c r="M114" s="215"/>
      <c r="N114" s="216">
        <v>250</v>
      </c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</row>
    <row r="115" spans="1:31" ht="15.75" customHeight="1" x14ac:dyDescent="0.25">
      <c r="A115" s="217" t="s">
        <v>193</v>
      </c>
      <c r="B115" s="218">
        <f t="shared" ref="B115:H115" si="73">(((((((((((((B59)+(B72))+(B81))+(B97))+(B103))+(B106))+(B107))+(B110))+(B111))+(B112))+(B113))+(B114)))</f>
        <v>150350.64000000001</v>
      </c>
      <c r="C115" s="218">
        <f t="shared" si="73"/>
        <v>151616.19</v>
      </c>
      <c r="D115" s="218">
        <f t="shared" si="73"/>
        <v>158947.07</v>
      </c>
      <c r="E115" s="218">
        <f t="shared" si="73"/>
        <v>162200.98000000001</v>
      </c>
      <c r="F115" s="218">
        <f t="shared" si="73"/>
        <v>169121.52000000005</v>
      </c>
      <c r="G115" s="218">
        <f t="shared" si="73"/>
        <v>174045.87</v>
      </c>
      <c r="H115" s="218">
        <f t="shared" si="73"/>
        <v>174045.87</v>
      </c>
      <c r="I115" s="218">
        <f>I72+I81+I97+I103+SUM(I106:I114)</f>
        <v>186265.57</v>
      </c>
      <c r="J115" s="219"/>
      <c r="K115" s="220">
        <f t="shared" ref="K115:L115" si="74">(((((((((((((K59)+(K72))+(K81))+(K97))+(K103))+(K106))+(K107))+(K110))+(K111))+(K112))+(K113))+(K114)))</f>
        <v>214110.91299813334</v>
      </c>
      <c r="L115" s="221">
        <f t="shared" si="74"/>
        <v>202855.73</v>
      </c>
      <c r="M115" s="222">
        <f>SUM(M106:M114,M103,M97,M81,M72)</f>
        <v>209810.44132934784</v>
      </c>
      <c r="N115" s="223">
        <f>(((((((((((((N59)+(N72))+(N81))+(N97))+(N103))+(N106))+(N107))+(N110))+(N111))+(N112))+(N113))+(N114)))</f>
        <v>244629.32031386319</v>
      </c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</row>
    <row r="116" spans="1:31" ht="15.75" customHeight="1" x14ac:dyDescent="0.25">
      <c r="A116" s="20"/>
      <c r="B116" s="47"/>
      <c r="C116" s="47"/>
      <c r="D116" s="47"/>
      <c r="E116" s="47"/>
      <c r="F116" s="47"/>
      <c r="G116" s="47"/>
      <c r="H116" s="22"/>
      <c r="I116" s="22"/>
      <c r="J116" s="72"/>
      <c r="K116" s="73"/>
      <c r="L116" s="74"/>
      <c r="M116" s="75"/>
      <c r="N116" s="76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5.75" customHeight="1" x14ac:dyDescent="0.25">
      <c r="A117" s="122" t="s">
        <v>194</v>
      </c>
      <c r="B117" s="123">
        <f>-97</f>
        <v>-97</v>
      </c>
      <c r="C117" s="125"/>
      <c r="D117" s="125"/>
      <c r="E117" s="123">
        <f t="shared" ref="E117:F117" si="75">2115.82</f>
        <v>2115.8200000000002</v>
      </c>
      <c r="F117" s="123">
        <f t="shared" si="75"/>
        <v>2115.8200000000002</v>
      </c>
      <c r="G117" s="125"/>
      <c r="H117" s="124"/>
      <c r="I117" s="124"/>
      <c r="J117" s="126"/>
      <c r="K117" s="127"/>
      <c r="L117" s="132">
        <v>93.72</v>
      </c>
      <c r="M117" s="129">
        <f t="shared" ref="M117:M118" si="76">L117</f>
        <v>93.72</v>
      </c>
      <c r="N117" s="130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  <c r="AB117" s="131"/>
      <c r="AC117" s="131"/>
      <c r="AD117" s="131"/>
      <c r="AE117" s="131"/>
    </row>
    <row r="118" spans="1:31" ht="15.75" customHeight="1" x14ac:dyDescent="0.25">
      <c r="A118" s="122" t="s">
        <v>195</v>
      </c>
      <c r="B118" s="123">
        <f>195.5</f>
        <v>195.5</v>
      </c>
      <c r="C118" s="123">
        <f>144.5</f>
        <v>144.5</v>
      </c>
      <c r="D118" s="123">
        <f>102</f>
        <v>102</v>
      </c>
      <c r="E118" s="123">
        <f>85</f>
        <v>85</v>
      </c>
      <c r="F118" s="123">
        <f>59.5</f>
        <v>59.5</v>
      </c>
      <c r="G118" s="123">
        <f>51</f>
        <v>51</v>
      </c>
      <c r="H118" s="124">
        <f t="shared" ref="H118:H120" si="77">G118</f>
        <v>51</v>
      </c>
      <c r="I118" s="124">
        <f>100</f>
        <v>100</v>
      </c>
      <c r="J118" s="126" t="s">
        <v>196</v>
      </c>
      <c r="K118" s="127">
        <v>60</v>
      </c>
      <c r="L118" s="132">
        <v>52.25</v>
      </c>
      <c r="M118" s="129">
        <f t="shared" si="76"/>
        <v>52.25</v>
      </c>
      <c r="N118" s="130">
        <f>8.75*6</f>
        <v>52.5</v>
      </c>
      <c r="O118" s="131" t="s">
        <v>197</v>
      </c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</row>
    <row r="119" spans="1:31" ht="15.75" customHeight="1" x14ac:dyDescent="0.25">
      <c r="A119" s="122" t="s">
        <v>198</v>
      </c>
      <c r="B119" s="123">
        <f>13.71</f>
        <v>13.71</v>
      </c>
      <c r="C119" s="123">
        <f>237.13</f>
        <v>237.13</v>
      </c>
      <c r="D119" s="123">
        <f>108.98</f>
        <v>108.98</v>
      </c>
      <c r="E119" s="123">
        <f>314.96</f>
        <v>314.95999999999998</v>
      </c>
      <c r="F119" s="123">
        <f>189.32</f>
        <v>189.32</v>
      </c>
      <c r="G119" s="123">
        <f>196.49</f>
        <v>196.49</v>
      </c>
      <c r="H119" s="124">
        <f t="shared" si="77"/>
        <v>196.49</v>
      </c>
      <c r="I119" s="124">
        <f>340</f>
        <v>340</v>
      </c>
      <c r="J119" s="126" t="s">
        <v>28</v>
      </c>
      <c r="K119" s="127">
        <f>15*52</f>
        <v>780</v>
      </c>
      <c r="L119" s="132">
        <v>338.88</v>
      </c>
      <c r="M119" s="129">
        <f t="shared" ref="M119:M120" si="78">L119/11.5*12</f>
        <v>353.61391304347825</v>
      </c>
      <c r="N119" s="225">
        <v>400</v>
      </c>
      <c r="O119" s="131" t="s">
        <v>199</v>
      </c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1"/>
    </row>
    <row r="120" spans="1:31" ht="15.75" customHeight="1" x14ac:dyDescent="0.25">
      <c r="A120" s="122" t="s">
        <v>200</v>
      </c>
      <c r="B120" s="123">
        <f>245.3</f>
        <v>245.3</v>
      </c>
      <c r="C120" s="123">
        <f>242.22</f>
        <v>242.22</v>
      </c>
      <c r="D120" s="123">
        <f>226.67</f>
        <v>226.67</v>
      </c>
      <c r="E120" s="123">
        <f>345.72</f>
        <v>345.72</v>
      </c>
      <c r="F120" s="123">
        <f>207.62</f>
        <v>207.62</v>
      </c>
      <c r="G120" s="123">
        <f>469.62</f>
        <v>469.62</v>
      </c>
      <c r="H120" s="124">
        <f t="shared" si="77"/>
        <v>469.62</v>
      </c>
      <c r="I120" s="124">
        <f>250</f>
        <v>250</v>
      </c>
      <c r="J120" s="126" t="s">
        <v>33</v>
      </c>
      <c r="K120" s="127">
        <v>200</v>
      </c>
      <c r="L120" s="132">
        <v>460.47</v>
      </c>
      <c r="M120" s="129">
        <f t="shared" si="78"/>
        <v>480.4904347826087</v>
      </c>
      <c r="N120" s="130">
        <v>400</v>
      </c>
      <c r="O120" s="131" t="s">
        <v>201</v>
      </c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</row>
    <row r="121" spans="1:31" ht="15.75" customHeight="1" x14ac:dyDescent="0.25">
      <c r="A121" s="133" t="s">
        <v>202</v>
      </c>
      <c r="B121" s="143">
        <f>30.74</f>
        <v>30.74</v>
      </c>
      <c r="C121" s="134"/>
      <c r="D121" s="134"/>
      <c r="E121" s="134"/>
      <c r="F121" s="135"/>
      <c r="G121" s="134"/>
      <c r="H121" s="135"/>
      <c r="I121" s="135"/>
      <c r="J121" s="136"/>
      <c r="K121" s="137"/>
      <c r="L121" s="138"/>
      <c r="M121" s="139"/>
      <c r="N121" s="140"/>
      <c r="O121" s="226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</row>
    <row r="122" spans="1:31" ht="15.75" customHeight="1" x14ac:dyDescent="0.25">
      <c r="A122" s="83" t="s">
        <v>203</v>
      </c>
      <c r="B122" s="84"/>
      <c r="C122" s="84"/>
      <c r="D122" s="84"/>
      <c r="E122" s="84"/>
      <c r="F122" s="86"/>
      <c r="G122" s="84"/>
      <c r="H122" s="86"/>
      <c r="I122" s="86"/>
      <c r="J122" s="23" t="s">
        <v>204</v>
      </c>
      <c r="K122" s="87">
        <v>2500</v>
      </c>
      <c r="L122" s="91">
        <v>75</v>
      </c>
      <c r="M122" s="92">
        <f t="shared" ref="M122:M124" si="79">L122</f>
        <v>75</v>
      </c>
      <c r="N122" s="87"/>
      <c r="O122" s="1" t="s">
        <v>205</v>
      </c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</row>
    <row r="123" spans="1:31" ht="15.75" customHeight="1" x14ac:dyDescent="0.25">
      <c r="A123" s="227" t="s">
        <v>206</v>
      </c>
      <c r="B123" s="86"/>
      <c r="C123" s="86"/>
      <c r="D123" s="86"/>
      <c r="E123" s="86"/>
      <c r="F123" s="86"/>
      <c r="G123" s="86"/>
      <c r="H123" s="86"/>
      <c r="I123" s="86">
        <f>638.88</f>
        <v>638.88</v>
      </c>
      <c r="J123" s="23"/>
      <c r="K123" s="87"/>
      <c r="L123" s="91">
        <v>232.5</v>
      </c>
      <c r="M123" s="92">
        <f t="shared" si="79"/>
        <v>232.5</v>
      </c>
      <c r="N123" s="87">
        <v>250</v>
      </c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</row>
    <row r="124" spans="1:31" ht="15.75" customHeight="1" x14ac:dyDescent="0.25">
      <c r="A124" s="83" t="s">
        <v>207</v>
      </c>
      <c r="B124" s="84"/>
      <c r="C124" s="84"/>
      <c r="D124" s="84"/>
      <c r="E124" s="84"/>
      <c r="F124" s="85">
        <f>937</f>
        <v>937</v>
      </c>
      <c r="G124" s="85">
        <f>959.25</f>
        <v>959.25</v>
      </c>
      <c r="H124" s="86">
        <f>G124</f>
        <v>959.25</v>
      </c>
      <c r="I124" s="86">
        <f>1200</f>
        <v>1200</v>
      </c>
      <c r="J124" s="23"/>
      <c r="K124" s="87"/>
      <c r="L124" s="91">
        <v>1367.74</v>
      </c>
      <c r="M124" s="92">
        <f t="shared" si="79"/>
        <v>1367.74</v>
      </c>
      <c r="N124" s="228">
        <v>600</v>
      </c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</row>
    <row r="125" spans="1:31" ht="15.75" customHeight="1" x14ac:dyDescent="0.25">
      <c r="A125" s="133" t="s">
        <v>208</v>
      </c>
      <c r="B125" s="161">
        <f t="shared" ref="B125:H125" si="80">(B122)+(B124)</f>
        <v>0</v>
      </c>
      <c r="C125" s="161">
        <f t="shared" si="80"/>
        <v>0</v>
      </c>
      <c r="D125" s="161">
        <f t="shared" si="80"/>
        <v>0</v>
      </c>
      <c r="E125" s="161">
        <f t="shared" si="80"/>
        <v>0</v>
      </c>
      <c r="F125" s="161">
        <f t="shared" si="80"/>
        <v>937</v>
      </c>
      <c r="G125" s="161">
        <f t="shared" si="80"/>
        <v>959.25</v>
      </c>
      <c r="H125" s="161">
        <f t="shared" si="80"/>
        <v>959.25</v>
      </c>
      <c r="I125" s="161">
        <f>SUM(I123:I124)</f>
        <v>1838.88</v>
      </c>
      <c r="J125" s="200"/>
      <c r="K125" s="367">
        <f t="shared" ref="K125:N125" si="81">SUM(K122:K124)</f>
        <v>2500</v>
      </c>
      <c r="L125" s="368">
        <f t="shared" si="81"/>
        <v>1675.24</v>
      </c>
      <c r="M125" s="369">
        <f t="shared" si="81"/>
        <v>1675.24</v>
      </c>
      <c r="N125" s="367">
        <f t="shared" si="81"/>
        <v>850</v>
      </c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</row>
    <row r="126" spans="1:31" ht="15.75" customHeight="1" x14ac:dyDescent="0.25">
      <c r="A126" s="133" t="s">
        <v>209</v>
      </c>
      <c r="B126" s="161"/>
      <c r="C126" s="161"/>
      <c r="D126" s="161"/>
      <c r="E126" s="161"/>
      <c r="F126" s="161"/>
      <c r="G126" s="161">
        <f>149.99</f>
        <v>149.99</v>
      </c>
      <c r="H126" s="161">
        <f>G126</f>
        <v>149.99</v>
      </c>
      <c r="I126" s="161"/>
      <c r="J126" s="232" t="s">
        <v>210</v>
      </c>
      <c r="K126" s="229">
        <v>500</v>
      </c>
      <c r="L126" s="233">
        <v>149.94</v>
      </c>
      <c r="M126" s="230">
        <f>L126</f>
        <v>149.94</v>
      </c>
      <c r="N126" s="231"/>
      <c r="O126" s="142" t="s">
        <v>211</v>
      </c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</row>
    <row r="127" spans="1:31" ht="15.75" customHeight="1" x14ac:dyDescent="0.25">
      <c r="A127" s="122" t="s">
        <v>212</v>
      </c>
      <c r="B127" s="178">
        <f t="shared" ref="B127:F127" si="82">(B121)+(B125)</f>
        <v>30.74</v>
      </c>
      <c r="C127" s="178">
        <f t="shared" si="82"/>
        <v>0</v>
      </c>
      <c r="D127" s="178">
        <f t="shared" si="82"/>
        <v>0</v>
      </c>
      <c r="E127" s="178">
        <f t="shared" si="82"/>
        <v>0</v>
      </c>
      <c r="F127" s="178">
        <f t="shared" si="82"/>
        <v>937</v>
      </c>
      <c r="G127" s="178">
        <f t="shared" ref="G127:H127" si="83">(G126)+(G125)</f>
        <v>1109.24</v>
      </c>
      <c r="H127" s="178">
        <f t="shared" si="83"/>
        <v>1109.24</v>
      </c>
      <c r="I127" s="178">
        <f>I125</f>
        <v>1838.88</v>
      </c>
      <c r="J127" s="179"/>
      <c r="K127" s="364">
        <f t="shared" ref="K127:L127" si="84">(K126)+(K125)</f>
        <v>3000</v>
      </c>
      <c r="L127" s="365">
        <f t="shared" si="84"/>
        <v>1825.18</v>
      </c>
      <c r="M127" s="366">
        <f>SUM(M125:M126)</f>
        <v>1825.18</v>
      </c>
      <c r="N127" s="364">
        <f>(N126)+(N125)</f>
        <v>850</v>
      </c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</row>
    <row r="128" spans="1:31" ht="15.75" customHeight="1" x14ac:dyDescent="0.25">
      <c r="A128" s="122" t="s">
        <v>213</v>
      </c>
      <c r="B128" s="123">
        <f>322.96</f>
        <v>322.95999999999998</v>
      </c>
      <c r="C128" s="123">
        <f>240.24</f>
        <v>240.24</v>
      </c>
      <c r="D128" s="123">
        <f>923.06</f>
        <v>923.06</v>
      </c>
      <c r="E128" s="123">
        <f>3171.63</f>
        <v>3171.63</v>
      </c>
      <c r="F128" s="123">
        <f>2607.58</f>
        <v>2607.58</v>
      </c>
      <c r="G128" s="123">
        <f>2341.44</f>
        <v>2341.44</v>
      </c>
      <c r="H128" s="124">
        <f>G128</f>
        <v>2341.44</v>
      </c>
      <c r="I128" s="124">
        <f>3200</f>
        <v>3200</v>
      </c>
      <c r="J128" s="126" t="s">
        <v>28</v>
      </c>
      <c r="K128" s="127">
        <f>2600+(2*97*6)</f>
        <v>3764</v>
      </c>
      <c r="L128" s="132">
        <v>4391.97</v>
      </c>
      <c r="M128" s="129">
        <f>L128/11.5*12</f>
        <v>4582.9252173913046</v>
      </c>
      <c r="N128" s="130">
        <f>2600+(2*107*6)</f>
        <v>3884</v>
      </c>
      <c r="O128" s="131" t="s">
        <v>214</v>
      </c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</row>
    <row r="129" spans="1:31" ht="15.75" customHeight="1" x14ac:dyDescent="0.25">
      <c r="A129" s="46" t="s">
        <v>215</v>
      </c>
      <c r="B129" s="21"/>
      <c r="C129" s="21"/>
      <c r="D129" s="21"/>
      <c r="E129" s="21"/>
      <c r="F129" s="22"/>
      <c r="G129" s="21"/>
      <c r="H129" s="22"/>
      <c r="I129" s="22"/>
      <c r="J129" s="23"/>
      <c r="K129" s="24"/>
      <c r="L129" s="25"/>
      <c r="M129" s="26"/>
      <c r="N129" s="2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5.75" customHeight="1" x14ac:dyDescent="0.25">
      <c r="A130" s="46" t="s">
        <v>216</v>
      </c>
      <c r="B130" s="47">
        <f>148.17</f>
        <v>148.16999999999999</v>
      </c>
      <c r="C130" s="47">
        <f>69.14</f>
        <v>69.14</v>
      </c>
      <c r="D130" s="47">
        <f>109.73</f>
        <v>109.73</v>
      </c>
      <c r="E130" s="47">
        <f>208.55</f>
        <v>208.55</v>
      </c>
      <c r="F130" s="47">
        <f>293.88</f>
        <v>293.88</v>
      </c>
      <c r="G130" s="47">
        <f>378.33</f>
        <v>378.33</v>
      </c>
      <c r="H130" s="22">
        <f>G130</f>
        <v>378.33</v>
      </c>
      <c r="I130" s="22">
        <f>120</f>
        <v>120</v>
      </c>
      <c r="J130" s="23" t="s">
        <v>33</v>
      </c>
      <c r="K130" s="24">
        <v>400</v>
      </c>
      <c r="L130" s="51">
        <v>222.17</v>
      </c>
      <c r="M130" s="26">
        <f>L130/11.5*12</f>
        <v>231.82956521739129</v>
      </c>
      <c r="N130" s="24">
        <v>400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5.75" customHeight="1" x14ac:dyDescent="0.25">
      <c r="A131" s="46" t="s">
        <v>217</v>
      </c>
      <c r="B131" s="21"/>
      <c r="C131" s="21"/>
      <c r="D131" s="21"/>
      <c r="E131" s="21">
        <f t="shared" ref="E131:F131" si="85">118</f>
        <v>118</v>
      </c>
      <c r="F131" s="22">
        <f t="shared" si="85"/>
        <v>118</v>
      </c>
      <c r="G131" s="21"/>
      <c r="H131" s="22"/>
      <c r="I131" s="22">
        <f>118</f>
        <v>118</v>
      </c>
      <c r="J131" s="23" t="s">
        <v>25</v>
      </c>
      <c r="K131" s="24">
        <v>166</v>
      </c>
      <c r="L131" s="25">
        <v>166</v>
      </c>
      <c r="M131" s="26">
        <f>L131</f>
        <v>166</v>
      </c>
      <c r="N131" s="24">
        <v>200</v>
      </c>
      <c r="O131" s="190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5.75" customHeight="1" x14ac:dyDescent="0.25">
      <c r="A132" s="122" t="s">
        <v>218</v>
      </c>
      <c r="B132" s="178">
        <f t="shared" ref="B132:H132" si="86">SUM(B129:B131)</f>
        <v>148.16999999999999</v>
      </c>
      <c r="C132" s="178">
        <f t="shared" si="86"/>
        <v>69.14</v>
      </c>
      <c r="D132" s="178">
        <f t="shared" si="86"/>
        <v>109.73</v>
      </c>
      <c r="E132" s="178">
        <f t="shared" si="86"/>
        <v>326.55</v>
      </c>
      <c r="F132" s="178">
        <f t="shared" si="86"/>
        <v>411.88</v>
      </c>
      <c r="G132" s="178">
        <f t="shared" si="86"/>
        <v>378.33</v>
      </c>
      <c r="H132" s="178">
        <f t="shared" si="86"/>
        <v>378.33</v>
      </c>
      <c r="I132" s="178">
        <f>SUM(I130:I131)</f>
        <v>238</v>
      </c>
      <c r="J132" s="179"/>
      <c r="K132" s="364">
        <f t="shared" ref="K132:L132" si="87">SUM(K129:K131)</f>
        <v>566</v>
      </c>
      <c r="L132" s="365">
        <f t="shared" si="87"/>
        <v>388.16999999999996</v>
      </c>
      <c r="M132" s="366">
        <f>SUM(M130:M131)</f>
        <v>397.82956521739129</v>
      </c>
      <c r="N132" s="364">
        <f>SUM(N129:N131)</f>
        <v>600</v>
      </c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  <c r="AB132" s="131"/>
      <c r="AC132" s="131"/>
      <c r="AD132" s="131"/>
      <c r="AE132" s="131"/>
    </row>
    <row r="133" spans="1:31" ht="15.75" customHeight="1" x14ac:dyDescent="0.25">
      <c r="A133" s="46" t="s">
        <v>219</v>
      </c>
      <c r="B133" s="47">
        <f>296.65</f>
        <v>296.64999999999998</v>
      </c>
      <c r="C133" s="21"/>
      <c r="D133" s="21"/>
      <c r="E133" s="21"/>
      <c r="F133" s="22"/>
      <c r="G133" s="21">
        <f>300</f>
        <v>300</v>
      </c>
      <c r="H133" s="22">
        <f t="shared" ref="H133:H135" si="88">G133</f>
        <v>300</v>
      </c>
      <c r="I133" s="22"/>
      <c r="J133" s="23"/>
      <c r="K133" s="24"/>
      <c r="L133" s="25"/>
      <c r="M133" s="26"/>
      <c r="N133" s="24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5.75" customHeight="1" x14ac:dyDescent="0.25">
      <c r="A134" s="46" t="s">
        <v>220</v>
      </c>
      <c r="B134" s="47">
        <f>275.2</f>
        <v>275.2</v>
      </c>
      <c r="C134" s="47">
        <f>206.77</f>
        <v>206.77</v>
      </c>
      <c r="D134" s="47">
        <f>175.83</f>
        <v>175.83</v>
      </c>
      <c r="E134" s="47">
        <f>177.38</f>
        <v>177.38</v>
      </c>
      <c r="F134" s="47">
        <f>129.54</f>
        <v>129.54</v>
      </c>
      <c r="G134" s="47">
        <f>36.99</f>
        <v>36.99</v>
      </c>
      <c r="H134" s="22">
        <f t="shared" si="88"/>
        <v>36.99</v>
      </c>
      <c r="I134" s="22">
        <f>200</f>
        <v>200</v>
      </c>
      <c r="J134" s="23" t="s">
        <v>33</v>
      </c>
      <c r="K134" s="24">
        <v>100</v>
      </c>
      <c r="L134" s="51">
        <v>75.22</v>
      </c>
      <c r="M134" s="26">
        <f t="shared" ref="M134:M135" si="89">L134/11.5*12</f>
        <v>78.490434782608688</v>
      </c>
      <c r="N134" s="24">
        <v>100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5.75" customHeight="1" x14ac:dyDescent="0.25">
      <c r="A135" s="46" t="s">
        <v>221</v>
      </c>
      <c r="B135" s="47">
        <f>3747.64</f>
        <v>3747.64</v>
      </c>
      <c r="C135" s="47">
        <f>3131.17</f>
        <v>3131.17</v>
      </c>
      <c r="D135" s="47">
        <f>550.36</f>
        <v>550.36</v>
      </c>
      <c r="E135" s="47">
        <f>151.12</f>
        <v>151.12</v>
      </c>
      <c r="F135" s="47">
        <f>71.24</f>
        <v>71.239999999999995</v>
      </c>
      <c r="G135" s="47">
        <f>46.65</f>
        <v>46.65</v>
      </c>
      <c r="H135" s="22">
        <f t="shared" si="88"/>
        <v>46.65</v>
      </c>
      <c r="I135" s="22">
        <f>170</f>
        <v>170</v>
      </c>
      <c r="J135" s="23" t="s">
        <v>33</v>
      </c>
      <c r="K135" s="24">
        <v>150</v>
      </c>
      <c r="L135" s="25">
        <v>177.82</v>
      </c>
      <c r="M135" s="26">
        <f t="shared" si="89"/>
        <v>185.55130434782609</v>
      </c>
      <c r="N135" s="71">
        <v>198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5.75" customHeight="1" x14ac:dyDescent="0.25">
      <c r="A136" s="122" t="s">
        <v>222</v>
      </c>
      <c r="B136" s="178">
        <f t="shared" ref="B136:H136" si="90">SUM(B133:B135)</f>
        <v>4319.49</v>
      </c>
      <c r="C136" s="178">
        <f t="shared" si="90"/>
        <v>3337.94</v>
      </c>
      <c r="D136" s="178">
        <f t="shared" si="90"/>
        <v>726.19</v>
      </c>
      <c r="E136" s="178">
        <f t="shared" si="90"/>
        <v>328.5</v>
      </c>
      <c r="F136" s="178">
        <f t="shared" si="90"/>
        <v>200.77999999999997</v>
      </c>
      <c r="G136" s="178">
        <f t="shared" si="90"/>
        <v>383.64</v>
      </c>
      <c r="H136" s="178">
        <f t="shared" si="90"/>
        <v>383.64</v>
      </c>
      <c r="I136" s="178">
        <f>SUM(I134:I135)</f>
        <v>370</v>
      </c>
      <c r="J136" s="179"/>
      <c r="K136" s="364">
        <f t="shared" ref="K136:L136" si="91">SUM(K133:K135)</f>
        <v>250</v>
      </c>
      <c r="L136" s="365">
        <f t="shared" si="91"/>
        <v>253.04</v>
      </c>
      <c r="M136" s="366">
        <f>SUM(M134:M135)</f>
        <v>264.04173913043479</v>
      </c>
      <c r="N136" s="364">
        <f>SUM(N133:N135)</f>
        <v>298</v>
      </c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</row>
    <row r="137" spans="1:31" ht="15.75" customHeight="1" x14ac:dyDescent="0.25">
      <c r="A137" s="46" t="s">
        <v>223</v>
      </c>
      <c r="B137" s="21"/>
      <c r="C137" s="47">
        <f>429.24</f>
        <v>429.24</v>
      </c>
      <c r="D137" s="21"/>
      <c r="E137" s="21"/>
      <c r="F137" s="22"/>
      <c r="G137" s="21"/>
      <c r="H137" s="22"/>
      <c r="I137" s="22"/>
      <c r="J137" s="23"/>
      <c r="K137" s="24"/>
      <c r="L137" s="25"/>
      <c r="M137" s="26"/>
      <c r="N137" s="24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5.75" customHeight="1" x14ac:dyDescent="0.25">
      <c r="A138" s="46" t="s">
        <v>224</v>
      </c>
      <c r="B138" s="21"/>
      <c r="C138" s="21"/>
      <c r="D138" s="47">
        <f>2216.17</f>
        <v>2216.17</v>
      </c>
      <c r="E138" s="47">
        <f>2438.92</f>
        <v>2438.92</v>
      </c>
      <c r="F138" s="47">
        <f>2614.92</f>
        <v>2614.92</v>
      </c>
      <c r="G138" s="47">
        <f>2705.92</f>
        <v>2705.92</v>
      </c>
      <c r="H138" s="22">
        <f t="shared" ref="H138:H139" si="92">G138</f>
        <v>2705.92</v>
      </c>
      <c r="I138" s="22">
        <f>2680.92</f>
        <v>2680.92</v>
      </c>
      <c r="J138" s="23" t="s">
        <v>28</v>
      </c>
      <c r="K138" s="24">
        <f>(190*12)+(6000*0.054)</f>
        <v>2604</v>
      </c>
      <c r="L138" s="51">
        <v>2255.06</v>
      </c>
      <c r="M138" s="26">
        <f>L138</f>
        <v>2255.06</v>
      </c>
      <c r="N138" s="24">
        <f>190*12</f>
        <v>2280</v>
      </c>
      <c r="O138" s="1" t="s">
        <v>225</v>
      </c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5.75" customHeight="1" x14ac:dyDescent="0.25">
      <c r="A139" s="46" t="s">
        <v>226</v>
      </c>
      <c r="B139" s="21"/>
      <c r="C139" s="21"/>
      <c r="D139" s="21"/>
      <c r="E139" s="21"/>
      <c r="F139" s="22"/>
      <c r="G139" s="21">
        <f>11.1</f>
        <v>11.1</v>
      </c>
      <c r="H139" s="22">
        <f t="shared" si="92"/>
        <v>11.1</v>
      </c>
      <c r="I139" s="22"/>
      <c r="J139" s="23"/>
      <c r="K139" s="24"/>
      <c r="L139" s="25"/>
      <c r="M139" s="26"/>
      <c r="N139" s="24"/>
      <c r="O139" s="1" t="s">
        <v>227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5.75" customHeight="1" x14ac:dyDescent="0.25">
      <c r="A140" s="122" t="s">
        <v>228</v>
      </c>
      <c r="B140" s="178">
        <f t="shared" ref="B140:H140" si="93">SUM(B137:B139)</f>
        <v>0</v>
      </c>
      <c r="C140" s="178">
        <f t="shared" si="93"/>
        <v>429.24</v>
      </c>
      <c r="D140" s="178">
        <f t="shared" si="93"/>
        <v>2216.17</v>
      </c>
      <c r="E140" s="178">
        <f t="shared" si="93"/>
        <v>2438.92</v>
      </c>
      <c r="F140" s="178">
        <f t="shared" si="93"/>
        <v>2614.92</v>
      </c>
      <c r="G140" s="178">
        <f t="shared" si="93"/>
        <v>2717.02</v>
      </c>
      <c r="H140" s="178">
        <f t="shared" si="93"/>
        <v>2717.02</v>
      </c>
      <c r="I140" s="178">
        <f>SUM(I138:I139)</f>
        <v>2680.92</v>
      </c>
      <c r="J140" s="179"/>
      <c r="K140" s="364">
        <f t="shared" ref="K140:L140" si="94">SUM(K137:K139)</f>
        <v>2604</v>
      </c>
      <c r="L140" s="365">
        <f t="shared" si="94"/>
        <v>2255.06</v>
      </c>
      <c r="M140" s="366">
        <f>SUM(M138:M139)</f>
        <v>2255.06</v>
      </c>
      <c r="N140" s="364">
        <f>SUM(N137:N139)</f>
        <v>2280</v>
      </c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</row>
    <row r="141" spans="1:31" ht="15.75" customHeight="1" x14ac:dyDescent="0.25">
      <c r="A141" s="122" t="s">
        <v>229</v>
      </c>
      <c r="B141" s="123">
        <f>660</f>
        <v>660</v>
      </c>
      <c r="C141" s="123">
        <f>495</f>
        <v>495</v>
      </c>
      <c r="D141" s="123">
        <f t="shared" ref="D141:G141" si="95">605</f>
        <v>605</v>
      </c>
      <c r="E141" s="123">
        <f t="shared" si="95"/>
        <v>605</v>
      </c>
      <c r="F141" s="123">
        <f t="shared" si="95"/>
        <v>605</v>
      </c>
      <c r="G141" s="123">
        <f t="shared" si="95"/>
        <v>605</v>
      </c>
      <c r="H141" s="124">
        <v>605</v>
      </c>
      <c r="I141" s="124">
        <f>605</f>
        <v>605</v>
      </c>
      <c r="J141" s="126" t="s">
        <v>230</v>
      </c>
      <c r="K141" s="127">
        <v>605</v>
      </c>
      <c r="L141" s="128">
        <v>605</v>
      </c>
      <c r="M141" s="129">
        <f>L141</f>
        <v>605</v>
      </c>
      <c r="N141" s="130">
        <v>605</v>
      </c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  <c r="AB141" s="131"/>
      <c r="AC141" s="131"/>
      <c r="AD141" s="131"/>
      <c r="AE141" s="131"/>
    </row>
    <row r="142" spans="1:31" ht="15.75" customHeight="1" x14ac:dyDescent="0.25">
      <c r="A142" s="46" t="s">
        <v>231</v>
      </c>
      <c r="B142" s="47">
        <f>1214.36</f>
        <v>1214.3599999999999</v>
      </c>
      <c r="C142" s="47">
        <f>1302.05</f>
        <v>1302.05</v>
      </c>
      <c r="D142" s="47">
        <f>1486.88</f>
        <v>1486.88</v>
      </c>
      <c r="E142" s="47">
        <f>1952.88</f>
        <v>1952.88</v>
      </c>
      <c r="F142" s="47">
        <f>780.96</f>
        <v>780.96</v>
      </c>
      <c r="G142" s="21"/>
      <c r="H142" s="22"/>
      <c r="I142" s="55"/>
      <c r="J142" s="72"/>
      <c r="K142" s="24"/>
      <c r="L142" s="51"/>
      <c r="M142" s="26"/>
      <c r="N142" s="24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5.75" customHeight="1" x14ac:dyDescent="0.25">
      <c r="A143" s="46" t="s">
        <v>232</v>
      </c>
      <c r="B143" s="21"/>
      <c r="C143" s="21"/>
      <c r="D143" s="21"/>
      <c r="E143" s="21"/>
      <c r="F143" s="47">
        <f>472</f>
        <v>472</v>
      </c>
      <c r="G143" s="47">
        <f>649</f>
        <v>649</v>
      </c>
      <c r="H143" s="22">
        <f t="shared" ref="H143:H149" si="96">G143</f>
        <v>649</v>
      </c>
      <c r="I143" s="55">
        <f>720</f>
        <v>720</v>
      </c>
      <c r="J143" s="72" t="s">
        <v>28</v>
      </c>
      <c r="K143" s="24">
        <f>59*12</f>
        <v>708</v>
      </c>
      <c r="L143" s="51">
        <v>708</v>
      </c>
      <c r="M143" s="26">
        <f>L143+59</f>
        <v>767</v>
      </c>
      <c r="N143" s="24">
        <f>59*12</f>
        <v>708</v>
      </c>
      <c r="O143" s="192" t="s">
        <v>233</v>
      </c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5.75" customHeight="1" x14ac:dyDescent="0.25">
      <c r="A144" s="46" t="s">
        <v>234</v>
      </c>
      <c r="B144" s="21"/>
      <c r="C144" s="21"/>
      <c r="D144" s="21"/>
      <c r="E144" s="21"/>
      <c r="F144" s="47">
        <f>560</f>
        <v>560</v>
      </c>
      <c r="G144" s="47">
        <f>770</f>
        <v>770</v>
      </c>
      <c r="H144" s="22">
        <f t="shared" si="96"/>
        <v>770</v>
      </c>
      <c r="I144" s="55">
        <f>840</f>
        <v>840</v>
      </c>
      <c r="J144" s="72" t="s">
        <v>28</v>
      </c>
      <c r="K144" s="24">
        <f>70*12</f>
        <v>840</v>
      </c>
      <c r="L144" s="51">
        <v>890</v>
      </c>
      <c r="M144" s="26">
        <f>L144+80</f>
        <v>970</v>
      </c>
      <c r="N144" s="24">
        <f>80*12</f>
        <v>960</v>
      </c>
      <c r="O144" s="1" t="s">
        <v>235</v>
      </c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5.75" customHeight="1" x14ac:dyDescent="0.25">
      <c r="A145" s="46" t="s">
        <v>236</v>
      </c>
      <c r="B145" s="21"/>
      <c r="C145" s="21"/>
      <c r="D145" s="21"/>
      <c r="E145" s="21"/>
      <c r="F145" s="47">
        <f>529</f>
        <v>529</v>
      </c>
      <c r="G145" s="47">
        <f>774</f>
        <v>774</v>
      </c>
      <c r="H145" s="22">
        <f t="shared" si="96"/>
        <v>774</v>
      </c>
      <c r="I145" s="55">
        <f>852</f>
        <v>852</v>
      </c>
      <c r="J145" s="72" t="s">
        <v>28</v>
      </c>
      <c r="K145" s="24">
        <f>83*12</f>
        <v>996</v>
      </c>
      <c r="L145" s="51">
        <v>1162.01</v>
      </c>
      <c r="M145" s="26">
        <f>L145+73</f>
        <v>1235.01</v>
      </c>
      <c r="N145" s="24">
        <f>73*12</f>
        <v>876</v>
      </c>
      <c r="O145" s="192" t="s">
        <v>237</v>
      </c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5.75" customHeight="1" x14ac:dyDescent="0.25">
      <c r="A146" s="46" t="s">
        <v>238</v>
      </c>
      <c r="B146" s="21"/>
      <c r="C146" s="21"/>
      <c r="D146" s="21"/>
      <c r="E146" s="21"/>
      <c r="F146" s="47">
        <f t="shared" ref="F146:G146" si="97">225.35</f>
        <v>225.35</v>
      </c>
      <c r="G146" s="47">
        <f t="shared" si="97"/>
        <v>225.35</v>
      </c>
      <c r="H146" s="22">
        <f t="shared" si="96"/>
        <v>225.35</v>
      </c>
      <c r="I146" s="55">
        <f>179.88</f>
        <v>179.88</v>
      </c>
      <c r="J146" s="72" t="s">
        <v>239</v>
      </c>
      <c r="K146" s="24">
        <f>150</f>
        <v>150</v>
      </c>
      <c r="L146" s="51">
        <v>149.9</v>
      </c>
      <c r="M146" s="26">
        <f>L146</f>
        <v>149.9</v>
      </c>
      <c r="N146" s="24">
        <v>150</v>
      </c>
      <c r="O146" s="1" t="s">
        <v>240</v>
      </c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5.75" customHeight="1" x14ac:dyDescent="0.25">
      <c r="A147" s="48" t="s">
        <v>241</v>
      </c>
      <c r="B147" s="47">
        <f t="shared" ref="B147:D147" si="98">60</f>
        <v>60</v>
      </c>
      <c r="C147" s="47">
        <f t="shared" si="98"/>
        <v>60</v>
      </c>
      <c r="D147" s="47">
        <f t="shared" si="98"/>
        <v>60</v>
      </c>
      <c r="E147" s="47">
        <f t="shared" ref="E147:F147" si="99">65</f>
        <v>65</v>
      </c>
      <c r="F147" s="47">
        <f t="shared" si="99"/>
        <v>65</v>
      </c>
      <c r="G147" s="47">
        <f>55</f>
        <v>55</v>
      </c>
      <c r="H147" s="22">
        <f t="shared" si="96"/>
        <v>55</v>
      </c>
      <c r="I147" s="22">
        <f>60</f>
        <v>60</v>
      </c>
      <c r="J147" s="23" t="s">
        <v>25</v>
      </c>
      <c r="K147" s="24">
        <f>1.99*12</f>
        <v>23.88</v>
      </c>
      <c r="L147" s="51">
        <v>79.989999999999995</v>
      </c>
      <c r="M147" s="26">
        <f>L147+5</f>
        <v>84.99</v>
      </c>
      <c r="N147" s="24">
        <f>20+(5*12)</f>
        <v>80</v>
      </c>
      <c r="O147" s="190" t="s">
        <v>242</v>
      </c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5.75" customHeight="1" x14ac:dyDescent="0.25">
      <c r="A148" s="48" t="s">
        <v>243</v>
      </c>
      <c r="B148" s="21"/>
      <c r="C148" s="21"/>
      <c r="D148" s="21"/>
      <c r="E148" s="21"/>
      <c r="F148" s="47">
        <f>44.66</f>
        <v>44.66</v>
      </c>
      <c r="G148" s="47">
        <f>135.3</f>
        <v>135.30000000000001</v>
      </c>
      <c r="H148" s="22">
        <f t="shared" si="96"/>
        <v>135.30000000000001</v>
      </c>
      <c r="I148" s="55"/>
      <c r="J148" s="23" t="s">
        <v>244</v>
      </c>
      <c r="K148" s="24">
        <v>1000</v>
      </c>
      <c r="L148" s="51">
        <v>1021.66</v>
      </c>
      <c r="M148" s="26">
        <f>L148</f>
        <v>1021.66</v>
      </c>
      <c r="N148" s="24">
        <v>999</v>
      </c>
      <c r="O148" s="234" t="s">
        <v>245</v>
      </c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5.75" customHeight="1" x14ac:dyDescent="0.25">
      <c r="A149" s="46" t="s">
        <v>246</v>
      </c>
      <c r="B149" s="21"/>
      <c r="C149" s="21"/>
      <c r="D149" s="47">
        <f>186</f>
        <v>186</v>
      </c>
      <c r="E149" s="47">
        <f t="shared" ref="E149:F149" si="100">260</f>
        <v>260</v>
      </c>
      <c r="F149" s="47">
        <f t="shared" si="100"/>
        <v>260</v>
      </c>
      <c r="G149" s="47">
        <f>220</f>
        <v>220</v>
      </c>
      <c r="H149" s="22">
        <f t="shared" si="96"/>
        <v>220</v>
      </c>
      <c r="I149" s="235">
        <f>240</f>
        <v>240</v>
      </c>
      <c r="J149" s="236" t="s">
        <v>28</v>
      </c>
      <c r="K149" s="24">
        <f>20*12</f>
        <v>240</v>
      </c>
      <c r="L149" s="51">
        <v>242.4</v>
      </c>
      <c r="M149" s="26">
        <f>L149/11*12</f>
        <v>264.43636363636364</v>
      </c>
      <c r="N149" s="24">
        <f>20*12</f>
        <v>240</v>
      </c>
      <c r="O149" s="190" t="s">
        <v>247</v>
      </c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 x14ac:dyDescent="0.25">
      <c r="A150" s="122" t="s">
        <v>248</v>
      </c>
      <c r="B150" s="178">
        <f t="shared" ref="B150:H150" si="101">SUM(B142:B149)</f>
        <v>1274.3599999999999</v>
      </c>
      <c r="C150" s="178">
        <f t="shared" si="101"/>
        <v>1362.05</v>
      </c>
      <c r="D150" s="178">
        <f t="shared" si="101"/>
        <v>1732.88</v>
      </c>
      <c r="E150" s="178">
        <f t="shared" si="101"/>
        <v>2277.88</v>
      </c>
      <c r="F150" s="178">
        <f t="shared" si="101"/>
        <v>2936.97</v>
      </c>
      <c r="G150" s="178">
        <f t="shared" si="101"/>
        <v>2828.65</v>
      </c>
      <c r="H150" s="178">
        <f t="shared" si="101"/>
        <v>2828.65</v>
      </c>
      <c r="I150" s="178">
        <f>SUM(I143:I149)</f>
        <v>2891.88</v>
      </c>
      <c r="J150" s="179"/>
      <c r="K150" s="364">
        <f t="shared" ref="K150:N150" si="102">SUM(K142:K149)</f>
        <v>3957.88</v>
      </c>
      <c r="L150" s="365">
        <f t="shared" si="102"/>
        <v>4253.96</v>
      </c>
      <c r="M150" s="366">
        <f t="shared" si="102"/>
        <v>4492.9963636363636</v>
      </c>
      <c r="N150" s="364">
        <f t="shared" si="102"/>
        <v>4013</v>
      </c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1"/>
      <c r="AE150" s="131"/>
    </row>
    <row r="151" spans="1:31" ht="15.75" hidden="1" customHeight="1" x14ac:dyDescent="0.25">
      <c r="A151" s="122" t="s">
        <v>249</v>
      </c>
      <c r="B151" s="123">
        <f>421.94</f>
        <v>421.94</v>
      </c>
      <c r="C151" s="123">
        <f>677.37</f>
        <v>677.37</v>
      </c>
      <c r="D151" s="123">
        <f>338.15</f>
        <v>338.15</v>
      </c>
      <c r="E151" s="125"/>
      <c r="F151" s="124"/>
      <c r="G151" s="125"/>
      <c r="H151" s="124"/>
      <c r="I151" s="59"/>
      <c r="J151" s="60"/>
      <c r="K151" s="61"/>
      <c r="L151" s="62"/>
      <c r="M151" s="63"/>
      <c r="N151" s="64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  <c r="AB151" s="131"/>
      <c r="AC151" s="131"/>
      <c r="AD151" s="131"/>
      <c r="AE151" s="131"/>
    </row>
    <row r="152" spans="1:31" ht="15.75" customHeight="1" x14ac:dyDescent="0.25">
      <c r="A152" s="122" t="s">
        <v>250</v>
      </c>
      <c r="B152" s="123">
        <f>30.6</f>
        <v>30.6</v>
      </c>
      <c r="C152" s="123">
        <f>22.3</f>
        <v>22.3</v>
      </c>
      <c r="D152" s="123">
        <f>41.3</f>
        <v>41.3</v>
      </c>
      <c r="E152" s="123">
        <f>734.04</f>
        <v>734.04</v>
      </c>
      <c r="F152" s="123">
        <f>-284.21</f>
        <v>-284.20999999999998</v>
      </c>
      <c r="G152" s="123">
        <f>-649.89</f>
        <v>-649.89</v>
      </c>
      <c r="H152" s="124">
        <f>G152</f>
        <v>-649.89</v>
      </c>
      <c r="I152" s="124">
        <f>70</f>
        <v>70</v>
      </c>
      <c r="J152" s="126" t="s">
        <v>33</v>
      </c>
      <c r="K152" s="127">
        <v>50</v>
      </c>
      <c r="L152" s="128">
        <v>12</v>
      </c>
      <c r="M152" s="129">
        <f>L152</f>
        <v>12</v>
      </c>
      <c r="N152" s="130">
        <v>50</v>
      </c>
      <c r="O152" s="131" t="s">
        <v>251</v>
      </c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  <c r="AE152" s="131"/>
    </row>
    <row r="153" spans="1:31" ht="15.75" hidden="1" customHeight="1" x14ac:dyDescent="0.25">
      <c r="A153" s="122" t="s">
        <v>252</v>
      </c>
      <c r="B153" s="125"/>
      <c r="C153" s="125"/>
      <c r="D153" s="125"/>
      <c r="E153" s="125"/>
      <c r="F153" s="124"/>
      <c r="G153" s="125"/>
      <c r="H153" s="124">
        <f t="shared" ref="H153:H154" si="103">(G153/9)*12</f>
        <v>0</v>
      </c>
      <c r="I153" s="59"/>
      <c r="J153" s="60"/>
      <c r="K153" s="61"/>
      <c r="L153" s="62"/>
      <c r="M153" s="63"/>
      <c r="N153" s="64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31"/>
    </row>
    <row r="154" spans="1:31" ht="15.75" hidden="1" customHeight="1" x14ac:dyDescent="0.25">
      <c r="A154" s="122" t="s">
        <v>253</v>
      </c>
      <c r="B154" s="125"/>
      <c r="C154" s="125"/>
      <c r="D154" s="125"/>
      <c r="E154" s="125"/>
      <c r="F154" s="124"/>
      <c r="G154" s="125"/>
      <c r="H154" s="124">
        <f t="shared" si="103"/>
        <v>0</v>
      </c>
      <c r="I154" s="59"/>
      <c r="J154" s="60"/>
      <c r="K154" s="61"/>
      <c r="L154" s="62"/>
      <c r="M154" s="63"/>
      <c r="N154" s="64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31"/>
      <c r="AC154" s="131"/>
      <c r="AD154" s="131"/>
      <c r="AE154" s="131"/>
    </row>
    <row r="155" spans="1:31" ht="15.75" customHeight="1" x14ac:dyDescent="0.25">
      <c r="A155" s="122" t="s">
        <v>254</v>
      </c>
      <c r="B155" s="123">
        <f>1282.24</f>
        <v>1282.24</v>
      </c>
      <c r="C155" s="123">
        <f>1775.76</f>
        <v>1775.76</v>
      </c>
      <c r="D155" s="123">
        <f>704.64</f>
        <v>704.64</v>
      </c>
      <c r="E155" s="123">
        <f>894.2</f>
        <v>894.2</v>
      </c>
      <c r="F155" s="124"/>
      <c r="G155" s="125"/>
      <c r="H155" s="124"/>
      <c r="I155" s="124"/>
      <c r="J155" s="126" t="s">
        <v>204</v>
      </c>
      <c r="K155" s="127">
        <f>50*4</f>
        <v>200</v>
      </c>
      <c r="L155" s="128">
        <v>100</v>
      </c>
      <c r="M155" s="129">
        <f>L155</f>
        <v>100</v>
      </c>
      <c r="N155" s="130">
        <v>200</v>
      </c>
      <c r="O155" s="131" t="s">
        <v>255</v>
      </c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  <c r="AA155" s="131"/>
      <c r="AB155" s="131"/>
      <c r="AC155" s="131"/>
      <c r="AD155" s="131"/>
      <c r="AE155" s="131"/>
    </row>
    <row r="156" spans="1:31" ht="15.75" customHeight="1" x14ac:dyDescent="0.25">
      <c r="A156" s="122" t="s">
        <v>256</v>
      </c>
      <c r="B156" s="123">
        <f>575</f>
        <v>575</v>
      </c>
      <c r="C156" s="123">
        <f>465</f>
        <v>465</v>
      </c>
      <c r="D156" s="123">
        <f>482.5</f>
        <v>482.5</v>
      </c>
      <c r="E156" s="123">
        <f>440.98</f>
        <v>440.98</v>
      </c>
      <c r="F156" s="123">
        <f>327.98</f>
        <v>327.98</v>
      </c>
      <c r="G156" s="123">
        <f>321</f>
        <v>321</v>
      </c>
      <c r="H156" s="124">
        <f>G156</f>
        <v>321</v>
      </c>
      <c r="I156" s="124">
        <f>500</f>
        <v>500</v>
      </c>
      <c r="J156" s="126" t="s">
        <v>28</v>
      </c>
      <c r="K156" s="127">
        <f>7.5*2*35</f>
        <v>525</v>
      </c>
      <c r="L156" s="128">
        <v>97.5</v>
      </c>
      <c r="M156" s="129">
        <f>L156/11.5*12</f>
        <v>101.7391304347826</v>
      </c>
      <c r="N156" s="225">
        <v>400</v>
      </c>
      <c r="O156" s="131" t="s">
        <v>257</v>
      </c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  <c r="AB156" s="131"/>
      <c r="AC156" s="131"/>
      <c r="AD156" s="131"/>
      <c r="AE156" s="131"/>
    </row>
    <row r="157" spans="1:31" ht="15.75" customHeight="1" x14ac:dyDescent="0.25">
      <c r="A157" s="217" t="s">
        <v>258</v>
      </c>
      <c r="B157" s="218">
        <f t="shared" ref="B157:H157" si="104">(((((((((((((((((B117)+(B118)))+(B119))+(B120))+(B127))+(B128))+(B132))+(B136))+(B140))+(B141))+(B150))+(B151))+(B152))+(B153))+(B154))+(B155))+(B156)</f>
        <v>9423.01</v>
      </c>
      <c r="C157" s="218">
        <f t="shared" si="104"/>
        <v>9497.89</v>
      </c>
      <c r="D157" s="218">
        <f t="shared" si="104"/>
        <v>8317.27</v>
      </c>
      <c r="E157" s="218">
        <f t="shared" si="104"/>
        <v>14079.2</v>
      </c>
      <c r="F157" s="218">
        <f t="shared" si="104"/>
        <v>12930.16</v>
      </c>
      <c r="G157" s="218">
        <f t="shared" si="104"/>
        <v>10751.54</v>
      </c>
      <c r="H157" s="218">
        <f t="shared" si="104"/>
        <v>10751.54</v>
      </c>
      <c r="I157" s="218">
        <f>SUM(I118:I120)+I127+I128+I132+I136+I140+I141+SUM(I150:I156)</f>
        <v>13084.68</v>
      </c>
      <c r="J157" s="219"/>
      <c r="K157" s="370">
        <f t="shared" ref="K157:L157" si="105">(((((((((((((((((K117)+(K118)))+(K119))+(K120))+(K127))+(K128))+(K132))+(K136))+(K140))+(K141))+(K150))+(K151))+(K152))+(K153))+(K154))+(K155))+(K156)</f>
        <v>16561.88</v>
      </c>
      <c r="L157" s="371">
        <f t="shared" si="105"/>
        <v>15127.2</v>
      </c>
      <c r="M157" s="372">
        <f>SUM(M150:M156,M140:M141,M136,M132,M127:M128,M117:M120)</f>
        <v>15616.846363636363</v>
      </c>
      <c r="N157" s="370">
        <f>(((((((((((((((((N117)+(N118)))+(N119))+(N120))+(N127))+(N128))+(N132))+(N136))+(N140))+(N141))+(N150))+(N151))+(N152))+(N153))+(N154))+(N155))+(N156)</f>
        <v>14032.5</v>
      </c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</row>
    <row r="158" spans="1:31" ht="15.75" customHeight="1" x14ac:dyDescent="0.25">
      <c r="A158" s="20"/>
      <c r="B158" s="21"/>
      <c r="C158" s="21"/>
      <c r="D158" s="21"/>
      <c r="E158" s="47"/>
      <c r="F158" s="47"/>
      <c r="G158" s="21"/>
      <c r="H158" s="22"/>
      <c r="I158" s="22"/>
      <c r="J158" s="23"/>
      <c r="K158" s="24"/>
      <c r="L158" s="25"/>
      <c r="M158" s="26"/>
      <c r="N158" s="24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 x14ac:dyDescent="0.25">
      <c r="A159" s="122" t="s">
        <v>259</v>
      </c>
      <c r="B159" s="125"/>
      <c r="C159" s="125"/>
      <c r="D159" s="125"/>
      <c r="E159" s="123">
        <f t="shared" ref="E159:F159" si="106">33121.83</f>
        <v>33121.83</v>
      </c>
      <c r="F159" s="123">
        <f t="shared" si="106"/>
        <v>33121.83</v>
      </c>
      <c r="G159" s="125"/>
      <c r="H159" s="124"/>
      <c r="I159" s="124"/>
      <c r="J159" s="126"/>
      <c r="K159" s="127"/>
      <c r="L159" s="128"/>
      <c r="M159" s="129"/>
      <c r="N159" s="130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  <c r="AB159" s="131"/>
      <c r="AC159" s="131"/>
      <c r="AD159" s="131"/>
      <c r="AE159" s="131"/>
    </row>
    <row r="160" spans="1:31" ht="15.75" customHeight="1" x14ac:dyDescent="0.25">
      <c r="A160" s="122" t="s">
        <v>260</v>
      </c>
      <c r="B160" s="125"/>
      <c r="C160" s="125"/>
      <c r="D160" s="123">
        <f>3675</f>
        <v>3675</v>
      </c>
      <c r="E160" s="123">
        <f>9196.1</f>
        <v>9196.1</v>
      </c>
      <c r="F160" s="123">
        <f>30.51</f>
        <v>30.51</v>
      </c>
      <c r="G160" s="125"/>
      <c r="H160" s="124"/>
      <c r="I160" s="124"/>
      <c r="J160" s="126"/>
      <c r="K160" s="127"/>
      <c r="L160" s="128"/>
      <c r="M160" s="129"/>
      <c r="N160" s="130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  <c r="AA160" s="131"/>
      <c r="AB160" s="131"/>
      <c r="AC160" s="131"/>
      <c r="AD160" s="131"/>
      <c r="AE160" s="131"/>
    </row>
    <row r="161" spans="1:31" ht="15.75" customHeight="1" x14ac:dyDescent="0.25">
      <c r="A161" s="46" t="s">
        <v>261</v>
      </c>
      <c r="B161" s="47">
        <f t="shared" ref="B161:C161" si="107">91128</f>
        <v>91128</v>
      </c>
      <c r="C161" s="47">
        <f t="shared" si="107"/>
        <v>91128</v>
      </c>
      <c r="D161" s="47">
        <f>61475.8</f>
        <v>61475.8</v>
      </c>
      <c r="E161" s="47">
        <f t="shared" ref="E161:G161" si="108">19962.72</f>
        <v>19962.72</v>
      </c>
      <c r="F161" s="47">
        <f t="shared" si="108"/>
        <v>19962.72</v>
      </c>
      <c r="G161" s="47">
        <f t="shared" si="108"/>
        <v>19962.72</v>
      </c>
      <c r="H161" s="22">
        <f>G161</f>
        <v>19962.72</v>
      </c>
      <c r="I161" s="22">
        <f>19962.72</f>
        <v>19962.72</v>
      </c>
      <c r="J161" s="23" t="s">
        <v>28</v>
      </c>
      <c r="K161" s="24">
        <f>(1794*12)+K50</f>
        <v>37825</v>
      </c>
      <c r="L161" s="238">
        <v>33552.589999999997</v>
      </c>
      <c r="M161" s="26">
        <f>L161+1794+50</f>
        <v>35396.589999999997</v>
      </c>
      <c r="N161" s="24">
        <f>1868*12</f>
        <v>22416</v>
      </c>
      <c r="O161" s="1" t="s">
        <v>262</v>
      </c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5.75" customHeight="1" x14ac:dyDescent="0.25">
      <c r="A162" s="46" t="s">
        <v>263</v>
      </c>
      <c r="B162" s="21"/>
      <c r="C162" s="21"/>
      <c r="D162" s="47">
        <f>22077.2</f>
        <v>22077.200000000001</v>
      </c>
      <c r="E162" s="21"/>
      <c r="F162" s="22"/>
      <c r="G162" s="21"/>
      <c r="H162" s="22"/>
      <c r="I162" s="22"/>
      <c r="J162" s="23"/>
      <c r="K162" s="24"/>
      <c r="L162" s="25"/>
      <c r="M162" s="26"/>
      <c r="N162" s="24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5.75" customHeight="1" x14ac:dyDescent="0.25">
      <c r="A163" s="122" t="s">
        <v>264</v>
      </c>
      <c r="B163" s="178">
        <f t="shared" ref="B163:I163" si="109">SUM(B161:B162)</f>
        <v>91128</v>
      </c>
      <c r="C163" s="178">
        <f t="shared" si="109"/>
        <v>91128</v>
      </c>
      <c r="D163" s="178">
        <f t="shared" si="109"/>
        <v>83553</v>
      </c>
      <c r="E163" s="178">
        <f t="shared" si="109"/>
        <v>19962.72</v>
      </c>
      <c r="F163" s="178">
        <f t="shared" si="109"/>
        <v>19962.72</v>
      </c>
      <c r="G163" s="178">
        <f t="shared" si="109"/>
        <v>19962.72</v>
      </c>
      <c r="H163" s="178">
        <f t="shared" si="109"/>
        <v>19962.72</v>
      </c>
      <c r="I163" s="178">
        <f t="shared" si="109"/>
        <v>19962.72</v>
      </c>
      <c r="J163" s="179"/>
      <c r="K163" s="364">
        <f t="shared" ref="K163:L163" si="110">SUM(K161:K162)</f>
        <v>37825</v>
      </c>
      <c r="L163" s="365">
        <f t="shared" si="110"/>
        <v>33552.589999999997</v>
      </c>
      <c r="M163" s="366">
        <f>M161</f>
        <v>35396.589999999997</v>
      </c>
      <c r="N163" s="364">
        <f>SUM(N161:N162)</f>
        <v>22416</v>
      </c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  <c r="AA163" s="131"/>
      <c r="AB163" s="131"/>
      <c r="AC163" s="131"/>
      <c r="AD163" s="131"/>
      <c r="AE163" s="131"/>
    </row>
    <row r="164" spans="1:31" ht="15.75" customHeight="1" x14ac:dyDescent="0.25">
      <c r="A164" s="122" t="s">
        <v>265</v>
      </c>
      <c r="B164" s="125"/>
      <c r="C164" s="125"/>
      <c r="D164" s="125"/>
      <c r="E164" s="125"/>
      <c r="F164" s="124"/>
      <c r="G164" s="125"/>
      <c r="H164" s="125"/>
      <c r="I164" s="125"/>
      <c r="J164" s="126" t="s">
        <v>28</v>
      </c>
      <c r="K164" s="127">
        <f>768.38*8</f>
        <v>6147.04</v>
      </c>
      <c r="L164" s="132">
        <v>6144</v>
      </c>
      <c r="M164" s="129">
        <f>L164</f>
        <v>6144</v>
      </c>
      <c r="N164" s="130">
        <f>768*12</f>
        <v>9216</v>
      </c>
      <c r="O164" s="131" t="s">
        <v>266</v>
      </c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1"/>
      <c r="AE164" s="131"/>
    </row>
    <row r="165" spans="1:31" ht="15.75" hidden="1" customHeight="1" x14ac:dyDescent="0.25">
      <c r="A165" s="122" t="s">
        <v>267</v>
      </c>
      <c r="B165" s="125"/>
      <c r="C165" s="125"/>
      <c r="D165" s="125"/>
      <c r="E165" s="125"/>
      <c r="F165" s="124"/>
      <c r="G165" s="125"/>
      <c r="H165" s="125"/>
      <c r="I165" s="125"/>
      <c r="J165" s="239"/>
      <c r="K165" s="240"/>
      <c r="L165" s="241"/>
      <c r="M165" s="242"/>
      <c r="N165" s="243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1"/>
      <c r="AE165" s="131"/>
    </row>
    <row r="166" spans="1:31" ht="15.75" hidden="1" customHeight="1" x14ac:dyDescent="0.25">
      <c r="A166" s="46" t="s">
        <v>268</v>
      </c>
      <c r="B166" s="21"/>
      <c r="C166" s="21"/>
      <c r="D166" s="21"/>
      <c r="E166" s="21"/>
      <c r="F166" s="22"/>
      <c r="G166" s="21"/>
      <c r="H166" s="21"/>
      <c r="I166" s="21"/>
      <c r="J166" s="244"/>
      <c r="K166" s="245"/>
      <c r="L166" s="246"/>
      <c r="M166" s="247"/>
      <c r="N166" s="245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5.75" hidden="1" customHeight="1" x14ac:dyDescent="0.25">
      <c r="A167" s="46" t="s">
        <v>269</v>
      </c>
      <c r="B167" s="21"/>
      <c r="C167" s="21"/>
      <c r="D167" s="21"/>
      <c r="E167" s="21"/>
      <c r="F167" s="22"/>
      <c r="G167" s="21"/>
      <c r="H167" s="21"/>
      <c r="I167" s="21"/>
      <c r="J167" s="244"/>
      <c r="K167" s="245"/>
      <c r="L167" s="246"/>
      <c r="M167" s="247"/>
      <c r="N167" s="245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5.75" hidden="1" customHeight="1" x14ac:dyDescent="0.25">
      <c r="A168" s="46" t="s">
        <v>270</v>
      </c>
      <c r="B168" s="21"/>
      <c r="C168" s="21"/>
      <c r="D168" s="21"/>
      <c r="E168" s="21"/>
      <c r="F168" s="22"/>
      <c r="G168" s="21"/>
      <c r="H168" s="21"/>
      <c r="I168" s="21"/>
      <c r="J168" s="244"/>
      <c r="K168" s="245"/>
      <c r="L168" s="246"/>
      <c r="M168" s="247"/>
      <c r="N168" s="245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5.75" hidden="1" customHeight="1" x14ac:dyDescent="0.25">
      <c r="A169" s="46" t="s">
        <v>271</v>
      </c>
      <c r="B169" s="21"/>
      <c r="C169" s="21"/>
      <c r="D169" s="21"/>
      <c r="E169" s="21"/>
      <c r="F169" s="22"/>
      <c r="G169" s="21"/>
      <c r="H169" s="21"/>
      <c r="I169" s="21"/>
      <c r="J169" s="244"/>
      <c r="K169" s="245"/>
      <c r="L169" s="246"/>
      <c r="M169" s="247"/>
      <c r="N169" s="245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5.75" hidden="1" customHeight="1" x14ac:dyDescent="0.25">
      <c r="A170" s="46" t="s">
        <v>272</v>
      </c>
      <c r="B170" s="21"/>
      <c r="C170" s="47">
        <f>950</f>
        <v>950</v>
      </c>
      <c r="D170" s="21"/>
      <c r="E170" s="21"/>
      <c r="F170" s="22"/>
      <c r="G170" s="21"/>
      <c r="H170" s="21"/>
      <c r="I170" s="21"/>
      <c r="J170" s="244"/>
      <c r="K170" s="245"/>
      <c r="L170" s="246"/>
      <c r="M170" s="247"/>
      <c r="N170" s="245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5.75" hidden="1" customHeight="1" x14ac:dyDescent="0.25">
      <c r="A171" s="46" t="s">
        <v>273</v>
      </c>
      <c r="B171" s="21"/>
      <c r="C171" s="21"/>
      <c r="D171" s="21"/>
      <c r="E171" s="21"/>
      <c r="F171" s="22"/>
      <c r="G171" s="21"/>
      <c r="H171" s="21"/>
      <c r="I171" s="21"/>
      <c r="J171" s="244"/>
      <c r="K171" s="245"/>
      <c r="L171" s="246"/>
      <c r="M171" s="247"/>
      <c r="N171" s="245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5.75" hidden="1" customHeight="1" x14ac:dyDescent="0.25">
      <c r="A172" s="122" t="s">
        <v>274</v>
      </c>
      <c r="B172" s="178">
        <f t="shared" ref="B172:I172" si="111">SUM(B166:B171)</f>
        <v>0</v>
      </c>
      <c r="C172" s="178">
        <f t="shared" si="111"/>
        <v>950</v>
      </c>
      <c r="D172" s="178">
        <f t="shared" si="111"/>
        <v>0</v>
      </c>
      <c r="E172" s="178">
        <f t="shared" si="111"/>
        <v>0</v>
      </c>
      <c r="F172" s="178">
        <f t="shared" si="111"/>
        <v>0</v>
      </c>
      <c r="G172" s="178">
        <f t="shared" si="111"/>
        <v>0</v>
      </c>
      <c r="H172" s="178">
        <f t="shared" si="111"/>
        <v>0</v>
      </c>
      <c r="I172" s="178">
        <f t="shared" si="111"/>
        <v>0</v>
      </c>
      <c r="J172" s="179"/>
      <c r="K172" s="180">
        <f>SUM(K166:K171)</f>
        <v>0</v>
      </c>
      <c r="L172" s="248"/>
      <c r="M172" s="181"/>
      <c r="N172" s="182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  <c r="AB172" s="131"/>
      <c r="AC172" s="131"/>
      <c r="AD172" s="131"/>
      <c r="AE172" s="131"/>
    </row>
    <row r="173" spans="1:31" ht="15.75" customHeight="1" x14ac:dyDescent="0.25">
      <c r="A173" s="122" t="s">
        <v>275</v>
      </c>
      <c r="B173" s="123">
        <f>52.25</f>
        <v>52.25</v>
      </c>
      <c r="C173" s="123">
        <f>389.5</f>
        <v>389.5</v>
      </c>
      <c r="D173" s="123">
        <f>123.75</f>
        <v>123.75</v>
      </c>
      <c r="E173" s="123">
        <f>721.45</f>
        <v>721.45</v>
      </c>
      <c r="F173" s="123">
        <f>611.45</f>
        <v>611.45000000000005</v>
      </c>
      <c r="G173" s="123">
        <f>435</f>
        <v>435</v>
      </c>
      <c r="H173" s="124">
        <f t="shared" ref="H173:H174" si="112">G173</f>
        <v>435</v>
      </c>
      <c r="I173" s="124"/>
      <c r="J173" s="126"/>
      <c r="K173" s="127"/>
      <c r="L173" s="128"/>
      <c r="M173" s="129"/>
      <c r="N173" s="130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  <c r="AA173" s="131"/>
      <c r="AB173" s="131"/>
      <c r="AC173" s="131"/>
      <c r="AD173" s="131"/>
      <c r="AE173" s="131"/>
    </row>
    <row r="174" spans="1:31" ht="15.75" customHeight="1" x14ac:dyDescent="0.25">
      <c r="A174" s="122" t="s">
        <v>276</v>
      </c>
      <c r="B174" s="123">
        <f>594.87</f>
        <v>594.87</v>
      </c>
      <c r="C174" s="123">
        <f>856.75</f>
        <v>856.75</v>
      </c>
      <c r="D174" s="123">
        <f>1124.09</f>
        <v>1124.0899999999999</v>
      </c>
      <c r="E174" s="123">
        <f>772.19</f>
        <v>772.19</v>
      </c>
      <c r="F174" s="123">
        <f>793.74</f>
        <v>793.74</v>
      </c>
      <c r="G174" s="123">
        <f>460.24</f>
        <v>460.24</v>
      </c>
      <c r="H174" s="124">
        <f t="shared" si="112"/>
        <v>460.24</v>
      </c>
      <c r="I174" s="124">
        <f>750</f>
        <v>750</v>
      </c>
      <c r="J174" s="126" t="s">
        <v>28</v>
      </c>
      <c r="K174" s="127">
        <v>1000</v>
      </c>
      <c r="L174" s="132">
        <v>933.78</v>
      </c>
      <c r="M174" s="129">
        <f>L174/11.5*12</f>
        <v>974.37913043478261</v>
      </c>
      <c r="N174" s="225">
        <v>1000</v>
      </c>
      <c r="O174" s="131" t="s">
        <v>277</v>
      </c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  <c r="AE174" s="131"/>
    </row>
    <row r="175" spans="1:31" ht="15.75" customHeight="1" x14ac:dyDescent="0.25">
      <c r="A175" s="46" t="s">
        <v>278</v>
      </c>
      <c r="B175" s="47">
        <f>58.3</f>
        <v>58.3</v>
      </c>
      <c r="C175" s="21"/>
      <c r="D175" s="47">
        <f>117.5</f>
        <v>117.5</v>
      </c>
      <c r="E175" s="21"/>
      <c r="F175" s="22"/>
      <c r="G175" s="21"/>
      <c r="H175" s="22"/>
      <c r="I175" s="22"/>
      <c r="J175" s="23"/>
      <c r="K175" s="24"/>
      <c r="L175" s="25"/>
      <c r="M175" s="26"/>
      <c r="N175" s="24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5.75" customHeight="1" x14ac:dyDescent="0.25">
      <c r="A176" s="46" t="s">
        <v>279</v>
      </c>
      <c r="B176" s="47">
        <f>1746</f>
        <v>1746</v>
      </c>
      <c r="C176" s="47">
        <f>3168</f>
        <v>3168</v>
      </c>
      <c r="D176" s="47">
        <f>880</f>
        <v>880</v>
      </c>
      <c r="E176" s="47">
        <f>4347.49</f>
        <v>4347.49</v>
      </c>
      <c r="F176" s="47">
        <f>6888.49</f>
        <v>6888.49</v>
      </c>
      <c r="G176" s="47">
        <f>3386.33</f>
        <v>3386.33</v>
      </c>
      <c r="H176" s="22">
        <f t="shared" ref="H176:H178" si="113">G176</f>
        <v>3386.33</v>
      </c>
      <c r="I176" s="22">
        <f>2470</f>
        <v>2470</v>
      </c>
      <c r="J176" s="23" t="s">
        <v>33</v>
      </c>
      <c r="K176" s="24">
        <v>7000</v>
      </c>
      <c r="L176" s="51">
        <v>2375.98</v>
      </c>
      <c r="M176" s="26">
        <f>L176+800</f>
        <v>3175.98</v>
      </c>
      <c r="N176" s="71">
        <f>3000+15000</f>
        <v>18000</v>
      </c>
      <c r="O176" s="192" t="s">
        <v>280</v>
      </c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5.75" customHeight="1" x14ac:dyDescent="0.25">
      <c r="A177" s="46" t="s">
        <v>281</v>
      </c>
      <c r="B177" s="47">
        <f>254.56</f>
        <v>254.56</v>
      </c>
      <c r="C177" s="47">
        <f>224.57</f>
        <v>224.57</v>
      </c>
      <c r="D177" s="47">
        <f>920.53</f>
        <v>920.53</v>
      </c>
      <c r="E177" s="47">
        <f>597.15</f>
        <v>597.15</v>
      </c>
      <c r="F177" s="47">
        <f>684.6</f>
        <v>684.6</v>
      </c>
      <c r="G177" s="47">
        <f>1404.46</f>
        <v>1404.46</v>
      </c>
      <c r="H177" s="22">
        <f t="shared" si="113"/>
        <v>1404.46</v>
      </c>
      <c r="I177" s="22">
        <f>1889.74</f>
        <v>1889.74</v>
      </c>
      <c r="J177" s="23" t="s">
        <v>33</v>
      </c>
      <c r="K177" s="24">
        <v>2000</v>
      </c>
      <c r="L177" s="51">
        <v>814.8</v>
      </c>
      <c r="M177" s="26">
        <f t="shared" ref="M177:M178" si="114">L177/11.5*12</f>
        <v>850.22608695652161</v>
      </c>
      <c r="N177" s="71">
        <v>500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5.75" customHeight="1" x14ac:dyDescent="0.25">
      <c r="A178" s="46" t="s">
        <v>282</v>
      </c>
      <c r="B178" s="21"/>
      <c r="C178" s="21"/>
      <c r="D178" s="21"/>
      <c r="E178" s="21"/>
      <c r="F178" s="47">
        <f t="shared" ref="F178:G178" si="115">146.13</f>
        <v>146.13</v>
      </c>
      <c r="G178" s="47">
        <f t="shared" si="115"/>
        <v>146.13</v>
      </c>
      <c r="H178" s="22">
        <f t="shared" si="113"/>
        <v>146.13</v>
      </c>
      <c r="I178" s="22">
        <f>1000</f>
        <v>1000</v>
      </c>
      <c r="J178" s="23" t="s">
        <v>33</v>
      </c>
      <c r="K178" s="24">
        <v>1000</v>
      </c>
      <c r="L178" s="51">
        <v>690.88</v>
      </c>
      <c r="M178" s="26">
        <f t="shared" si="114"/>
        <v>720.91826086956519</v>
      </c>
      <c r="N178" s="71">
        <v>500</v>
      </c>
      <c r="O178" s="1" t="s">
        <v>283</v>
      </c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5.75" customHeight="1" x14ac:dyDescent="0.25">
      <c r="A179" s="122" t="s">
        <v>284</v>
      </c>
      <c r="B179" s="178">
        <f t="shared" ref="B179:H179" si="116">SUM(B175:B178)</f>
        <v>2058.86</v>
      </c>
      <c r="C179" s="178">
        <f t="shared" si="116"/>
        <v>3392.57</v>
      </c>
      <c r="D179" s="178">
        <f t="shared" si="116"/>
        <v>1918.03</v>
      </c>
      <c r="E179" s="178">
        <f t="shared" si="116"/>
        <v>4944.6399999999994</v>
      </c>
      <c r="F179" s="178">
        <f t="shared" si="116"/>
        <v>7719.22</v>
      </c>
      <c r="G179" s="178">
        <f t="shared" si="116"/>
        <v>4936.92</v>
      </c>
      <c r="H179" s="178">
        <f t="shared" si="116"/>
        <v>4936.92</v>
      </c>
      <c r="I179" s="178">
        <f>SUM(I176:I178)</f>
        <v>5359.74</v>
      </c>
      <c r="J179" s="249"/>
      <c r="K179" s="364">
        <f t="shared" ref="K179:L179" si="117">SUM(K175:K178)</f>
        <v>10000</v>
      </c>
      <c r="L179" s="365">
        <f t="shared" si="117"/>
        <v>3881.66</v>
      </c>
      <c r="M179" s="366">
        <f>SUM(M176:M178)</f>
        <v>4747.1243478260867</v>
      </c>
      <c r="N179" s="364">
        <f>SUM(N175:N178)</f>
        <v>19000</v>
      </c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  <c r="AA179" s="131"/>
      <c r="AB179" s="131"/>
      <c r="AC179" s="131"/>
      <c r="AD179" s="131"/>
      <c r="AE179" s="131"/>
    </row>
    <row r="180" spans="1:31" ht="15.75" customHeight="1" x14ac:dyDescent="0.25">
      <c r="A180" s="122" t="s">
        <v>285</v>
      </c>
      <c r="B180" s="123">
        <f>439.17</f>
        <v>439.17</v>
      </c>
      <c r="C180" s="125"/>
      <c r="D180" s="123">
        <f>639.05</f>
        <v>639.04999999999995</v>
      </c>
      <c r="E180" s="123">
        <f>694.59</f>
        <v>694.59</v>
      </c>
      <c r="F180" s="123">
        <f>815.33</f>
        <v>815.33</v>
      </c>
      <c r="G180" s="123">
        <f>1204</f>
        <v>1204</v>
      </c>
      <c r="H180" s="124">
        <f t="shared" ref="H180:H181" si="118">G180</f>
        <v>1204</v>
      </c>
      <c r="I180" s="124"/>
      <c r="J180" s="126" t="s">
        <v>33</v>
      </c>
      <c r="K180" s="127">
        <v>1000</v>
      </c>
      <c r="L180" s="132">
        <v>290</v>
      </c>
      <c r="M180" s="129">
        <f>L180</f>
        <v>290</v>
      </c>
      <c r="N180" s="130">
        <v>1000</v>
      </c>
      <c r="O180" s="131" t="s">
        <v>286</v>
      </c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  <c r="AB180" s="131"/>
      <c r="AC180" s="131"/>
      <c r="AD180" s="131"/>
      <c r="AE180" s="131"/>
    </row>
    <row r="181" spans="1:31" ht="15.75" customHeight="1" x14ac:dyDescent="0.25">
      <c r="A181" s="122" t="s">
        <v>287</v>
      </c>
      <c r="B181" s="123">
        <f>1707.6</f>
        <v>1707.6</v>
      </c>
      <c r="C181" s="123">
        <f>1656.84</f>
        <v>1656.84</v>
      </c>
      <c r="D181" s="123">
        <f>1929.25</f>
        <v>1929.25</v>
      </c>
      <c r="E181" s="123">
        <f>3768.81</f>
        <v>3768.81</v>
      </c>
      <c r="F181" s="123">
        <f>4180.82</f>
        <v>4180.82</v>
      </c>
      <c r="G181" s="123">
        <f>3412.63</f>
        <v>3412.63</v>
      </c>
      <c r="H181" s="124">
        <f t="shared" si="118"/>
        <v>3412.63</v>
      </c>
      <c r="I181" s="124">
        <f>3500</f>
        <v>3500</v>
      </c>
      <c r="J181" s="126" t="s">
        <v>28</v>
      </c>
      <c r="K181" s="127">
        <f>((152+108)*12)</f>
        <v>3120</v>
      </c>
      <c r="L181" s="132"/>
      <c r="M181" s="129"/>
      <c r="N181" s="250"/>
      <c r="O181" s="214" t="s">
        <v>288</v>
      </c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  <c r="AA181" s="131"/>
      <c r="AB181" s="131"/>
      <c r="AC181" s="131"/>
      <c r="AD181" s="131"/>
      <c r="AE181" s="131"/>
    </row>
    <row r="182" spans="1:31" ht="15.75" customHeight="1" x14ac:dyDescent="0.25">
      <c r="A182" s="251" t="s">
        <v>289</v>
      </c>
      <c r="B182" s="21"/>
      <c r="C182" s="21"/>
      <c r="D182" s="21"/>
      <c r="E182" s="21"/>
      <c r="F182" s="22"/>
      <c r="G182" s="21"/>
      <c r="H182" s="22"/>
      <c r="I182" s="55"/>
      <c r="J182" s="72"/>
      <c r="K182" s="73"/>
      <c r="L182" s="77">
        <v>3213.71</v>
      </c>
      <c r="M182" s="75">
        <f>L182/11*12</f>
        <v>3505.8654545454547</v>
      </c>
      <c r="N182" s="71">
        <f>(159+108)*12</f>
        <v>3204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5.75" customHeight="1" x14ac:dyDescent="0.25">
      <c r="A183" s="251" t="s">
        <v>290</v>
      </c>
      <c r="B183" s="21"/>
      <c r="C183" s="21"/>
      <c r="D183" s="21"/>
      <c r="E183" s="21"/>
      <c r="F183" s="22"/>
      <c r="G183" s="21"/>
      <c r="H183" s="22"/>
      <c r="I183" s="55"/>
      <c r="J183" s="72"/>
      <c r="K183" s="252"/>
      <c r="L183" s="253">
        <v>520.96</v>
      </c>
      <c r="M183" s="254">
        <f>L183+104</f>
        <v>624.96</v>
      </c>
      <c r="N183" s="255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5.75" customHeight="1" x14ac:dyDescent="0.25">
      <c r="A184" s="256" t="s">
        <v>291</v>
      </c>
      <c r="B184" s="257"/>
      <c r="C184" s="257"/>
      <c r="D184" s="257"/>
      <c r="E184" s="257"/>
      <c r="F184" s="258"/>
      <c r="G184" s="257"/>
      <c r="H184" s="258"/>
      <c r="I184" s="259"/>
      <c r="J184" s="72"/>
      <c r="K184" s="260">
        <f>SUM(K181:K183)</f>
        <v>3120</v>
      </c>
      <c r="L184" s="261">
        <f t="shared" ref="L184:N184" si="119">SUM(L182:L183)</f>
        <v>3734.67</v>
      </c>
      <c r="M184" s="262">
        <f t="shared" si="119"/>
        <v>4130.8254545454547</v>
      </c>
      <c r="N184" s="263">
        <f t="shared" si="119"/>
        <v>3204</v>
      </c>
      <c r="O184" s="264"/>
      <c r="P184" s="264"/>
      <c r="Q184" s="264"/>
      <c r="R184" s="264"/>
      <c r="S184" s="264"/>
      <c r="T184" s="264"/>
      <c r="U184" s="264"/>
      <c r="V184" s="264"/>
      <c r="W184" s="264"/>
      <c r="X184" s="264"/>
      <c r="Y184" s="264"/>
      <c r="Z184" s="264"/>
      <c r="AA184" s="264"/>
      <c r="AB184" s="264"/>
      <c r="AC184" s="264"/>
      <c r="AD184" s="264"/>
      <c r="AE184" s="264"/>
    </row>
    <row r="185" spans="1:31" ht="15.75" customHeight="1" x14ac:dyDescent="0.25">
      <c r="A185" s="46" t="s">
        <v>292</v>
      </c>
      <c r="B185" s="21"/>
      <c r="C185" s="21"/>
      <c r="D185" s="21"/>
      <c r="E185" s="21"/>
      <c r="F185" s="22"/>
      <c r="G185" s="21"/>
      <c r="H185" s="22"/>
      <c r="I185" s="55"/>
      <c r="J185" s="72"/>
      <c r="K185" s="73"/>
      <c r="L185" s="74"/>
      <c r="M185" s="75"/>
      <c r="N185" s="76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5.75" customHeight="1" x14ac:dyDescent="0.25">
      <c r="A186" s="46" t="s">
        <v>293</v>
      </c>
      <c r="B186" s="47">
        <f>12377.55</f>
        <v>12377.55</v>
      </c>
      <c r="C186" s="47">
        <f>12476.3</f>
        <v>12476.3</v>
      </c>
      <c r="D186" s="47">
        <f>11831.65</f>
        <v>11831.65</v>
      </c>
      <c r="E186" s="47">
        <f>10586.42</f>
        <v>10586.42</v>
      </c>
      <c r="F186" s="47">
        <f>7782.47</f>
        <v>7782.47</v>
      </c>
      <c r="G186" s="47">
        <f>6876.11</f>
        <v>6876.11</v>
      </c>
      <c r="H186" s="22">
        <f t="shared" ref="H186:H189" si="120">G186</f>
        <v>6876.11</v>
      </c>
      <c r="I186" s="22"/>
      <c r="J186" s="23" t="s">
        <v>28</v>
      </c>
      <c r="K186" s="24">
        <v>8000</v>
      </c>
      <c r="L186" s="77">
        <v>8702.4</v>
      </c>
      <c r="M186" s="26">
        <f t="shared" ref="M186:M187" si="121">L186/11*12</f>
        <v>9493.5272727272732</v>
      </c>
      <c r="N186" s="24">
        <v>10200</v>
      </c>
      <c r="O186" s="1" t="s">
        <v>294</v>
      </c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5.75" customHeight="1" x14ac:dyDescent="0.25">
      <c r="A187" s="46" t="s">
        <v>295</v>
      </c>
      <c r="B187" s="47">
        <f>3060.21</f>
        <v>3060.21</v>
      </c>
      <c r="C187" s="47">
        <f>2985.22</f>
        <v>2985.22</v>
      </c>
      <c r="D187" s="47">
        <f>4021.08</f>
        <v>4021.08</v>
      </c>
      <c r="E187" s="47">
        <f>4376.91</f>
        <v>4376.91</v>
      </c>
      <c r="F187" s="47">
        <f>3097.28</f>
        <v>3097.28</v>
      </c>
      <c r="G187" s="47">
        <f>2679.23</f>
        <v>2679.23</v>
      </c>
      <c r="H187" s="22">
        <f t="shared" si="120"/>
        <v>2679.23</v>
      </c>
      <c r="I187" s="22"/>
      <c r="J187" s="23" t="s">
        <v>28</v>
      </c>
      <c r="K187" s="71">
        <v>1500</v>
      </c>
      <c r="L187" s="51">
        <v>2750.29</v>
      </c>
      <c r="M187" s="26">
        <f t="shared" si="121"/>
        <v>3000.3163636363638</v>
      </c>
      <c r="N187" s="71">
        <v>3000</v>
      </c>
      <c r="O187" s="265" t="s">
        <v>296</v>
      </c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5.75" hidden="1" customHeight="1" x14ac:dyDescent="0.25">
      <c r="A188" s="46" t="s">
        <v>297</v>
      </c>
      <c r="B188" s="47">
        <f>598.68</f>
        <v>598.67999999999995</v>
      </c>
      <c r="C188" s="47">
        <f>711.2</f>
        <v>711.2</v>
      </c>
      <c r="D188" s="47">
        <f>977.14</f>
        <v>977.14</v>
      </c>
      <c r="E188" s="47">
        <f>1454.88</f>
        <v>1454.88</v>
      </c>
      <c r="F188" s="47">
        <f>1411.46</f>
        <v>1411.46</v>
      </c>
      <c r="G188" s="47">
        <f>1210</f>
        <v>1210</v>
      </c>
      <c r="H188" s="22">
        <f t="shared" si="120"/>
        <v>1210</v>
      </c>
      <c r="I188" s="55"/>
      <c r="J188" s="72"/>
      <c r="K188" s="73"/>
      <c r="L188" s="74"/>
      <c r="M188" s="75"/>
      <c r="N188" s="76"/>
      <c r="O188" s="266" t="s">
        <v>298</v>
      </c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5.75" hidden="1" customHeight="1" x14ac:dyDescent="0.25">
      <c r="A189" s="46" t="s">
        <v>299</v>
      </c>
      <c r="B189" s="47">
        <f>704.72</f>
        <v>704.72</v>
      </c>
      <c r="C189" s="47">
        <f>939.08</f>
        <v>939.08</v>
      </c>
      <c r="D189" s="47">
        <f>1170.36</f>
        <v>1170.3599999999999</v>
      </c>
      <c r="E189" s="47">
        <f>1494.9</f>
        <v>1494.9</v>
      </c>
      <c r="F189" s="47">
        <f>1268.65</f>
        <v>1268.6500000000001</v>
      </c>
      <c r="G189" s="47">
        <f>726.28</f>
        <v>726.28</v>
      </c>
      <c r="H189" s="22">
        <f t="shared" si="120"/>
        <v>726.28</v>
      </c>
      <c r="I189" s="55"/>
      <c r="J189" s="72"/>
      <c r="K189" s="73"/>
      <c r="L189" s="74"/>
      <c r="M189" s="75"/>
      <c r="N189" s="76"/>
      <c r="O189" s="266" t="s">
        <v>298</v>
      </c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5.75" customHeight="1" x14ac:dyDescent="0.25">
      <c r="A190" s="122" t="s">
        <v>300</v>
      </c>
      <c r="B190" s="178">
        <f t="shared" ref="B190:H190" si="122">SUM(B185:B189)</f>
        <v>16741.16</v>
      </c>
      <c r="C190" s="178">
        <f t="shared" si="122"/>
        <v>17111.8</v>
      </c>
      <c r="D190" s="178">
        <f t="shared" si="122"/>
        <v>18000.23</v>
      </c>
      <c r="E190" s="178">
        <f t="shared" si="122"/>
        <v>17913.11</v>
      </c>
      <c r="F190" s="178">
        <f t="shared" si="122"/>
        <v>13559.859999999999</v>
      </c>
      <c r="G190" s="178">
        <f t="shared" si="122"/>
        <v>11491.62</v>
      </c>
      <c r="H190" s="178">
        <f t="shared" si="122"/>
        <v>11491.62</v>
      </c>
      <c r="I190" s="178">
        <f>14810</f>
        <v>14810</v>
      </c>
      <c r="J190" s="179"/>
      <c r="K190" s="364">
        <f t="shared" ref="K190:L190" si="123">SUM(K185:K189)</f>
        <v>9500</v>
      </c>
      <c r="L190" s="365">
        <f t="shared" si="123"/>
        <v>11452.689999999999</v>
      </c>
      <c r="M190" s="366">
        <f>SUM(M186:M187)</f>
        <v>12493.843636363637</v>
      </c>
      <c r="N190" s="364">
        <f>SUM(N185:N189)</f>
        <v>13200</v>
      </c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  <c r="AB190" s="131"/>
      <c r="AC190" s="131"/>
      <c r="AD190" s="131"/>
      <c r="AE190" s="131"/>
    </row>
    <row r="191" spans="1:31" ht="15.75" customHeight="1" x14ac:dyDescent="0.25">
      <c r="A191" s="122" t="s">
        <v>301</v>
      </c>
      <c r="B191" s="123">
        <f t="shared" ref="B191:D191" si="124">890.4</f>
        <v>890.4</v>
      </c>
      <c r="C191" s="123">
        <f t="shared" si="124"/>
        <v>890.4</v>
      </c>
      <c r="D191" s="123">
        <f t="shared" si="124"/>
        <v>890.4</v>
      </c>
      <c r="E191" s="123">
        <f>1086.06</f>
        <v>1086.06</v>
      </c>
      <c r="F191" s="123">
        <f>1738.72</f>
        <v>1738.72</v>
      </c>
      <c r="G191" s="123">
        <f>2079.68</f>
        <v>2079.6799999999998</v>
      </c>
      <c r="H191" s="124">
        <f>G191</f>
        <v>2079.6799999999998</v>
      </c>
      <c r="I191" s="124">
        <f>1100</f>
        <v>1100</v>
      </c>
      <c r="J191" s="126" t="s">
        <v>33</v>
      </c>
      <c r="K191" s="127">
        <f>((213.91+66)*4)+(150*3)+50</f>
        <v>1619.6399999999999</v>
      </c>
      <c r="L191" s="132">
        <v>1816.08</v>
      </c>
      <c r="M191" s="129">
        <f>L191</f>
        <v>1816.08</v>
      </c>
      <c r="N191" s="130">
        <f>((217.39+66)*4)+(150*3)+50</f>
        <v>1633.56</v>
      </c>
      <c r="O191" s="131" t="s">
        <v>302</v>
      </c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  <c r="AA191" s="131"/>
      <c r="AB191" s="131"/>
      <c r="AC191" s="131"/>
      <c r="AD191" s="131"/>
      <c r="AE191" s="131"/>
    </row>
    <row r="192" spans="1:31" ht="15.75" customHeight="1" x14ac:dyDescent="0.25">
      <c r="A192" s="46" t="s">
        <v>303</v>
      </c>
      <c r="B192" s="21"/>
      <c r="C192" s="21"/>
      <c r="D192" s="21"/>
      <c r="E192" s="21"/>
      <c r="F192" s="22"/>
      <c r="G192" s="21"/>
      <c r="H192" s="267"/>
      <c r="I192" s="267"/>
      <c r="J192" s="268"/>
      <c r="K192" s="269"/>
      <c r="L192" s="270"/>
      <c r="M192" s="271"/>
      <c r="N192" s="269"/>
      <c r="O192" s="272" t="s">
        <v>304</v>
      </c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5.75" customHeight="1" x14ac:dyDescent="0.25">
      <c r="A193" s="46" t="s">
        <v>305</v>
      </c>
      <c r="B193" s="47">
        <f>5245</f>
        <v>5245</v>
      </c>
      <c r="C193" s="47">
        <f>3210</f>
        <v>3210</v>
      </c>
      <c r="D193" s="47">
        <f>3140</f>
        <v>3140</v>
      </c>
      <c r="E193" s="47">
        <f>3984</f>
        <v>3984</v>
      </c>
      <c r="F193" s="47">
        <f>4280.34</f>
        <v>4280.34</v>
      </c>
      <c r="G193" s="47">
        <f>4940.34</f>
        <v>4940.34</v>
      </c>
      <c r="H193" s="22">
        <f t="shared" ref="H193:H194" si="125">G193</f>
        <v>4940.34</v>
      </c>
      <c r="I193" s="22">
        <f>3960</f>
        <v>3960</v>
      </c>
      <c r="J193" s="23" t="s">
        <v>306</v>
      </c>
      <c r="K193" s="24">
        <v>5500</v>
      </c>
      <c r="L193" s="51">
        <v>6722.09</v>
      </c>
      <c r="M193" s="26">
        <f>L193</f>
        <v>6722.09</v>
      </c>
      <c r="N193" s="71">
        <v>6500</v>
      </c>
      <c r="O193" s="1" t="s">
        <v>307</v>
      </c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5.75" customHeight="1" x14ac:dyDescent="0.25">
      <c r="A194" s="46" t="s">
        <v>308</v>
      </c>
      <c r="B194" s="47">
        <f>852</f>
        <v>852</v>
      </c>
      <c r="C194" s="47">
        <f>253</f>
        <v>253</v>
      </c>
      <c r="D194" s="47">
        <f>1000.19</f>
        <v>1000.19</v>
      </c>
      <c r="E194" s="47">
        <f>800</f>
        <v>800</v>
      </c>
      <c r="F194" s="22"/>
      <c r="G194" s="21">
        <f>340</f>
        <v>340</v>
      </c>
      <c r="H194" s="22">
        <f t="shared" si="125"/>
        <v>340</v>
      </c>
      <c r="I194" s="22">
        <f>5800</f>
        <v>5800</v>
      </c>
      <c r="J194" s="23" t="s">
        <v>309</v>
      </c>
      <c r="K194" s="24">
        <v>5000</v>
      </c>
      <c r="L194" s="25">
        <v>3045</v>
      </c>
      <c r="M194" s="26">
        <f>L194+1900</f>
        <v>4945</v>
      </c>
      <c r="N194" s="24">
        <v>5000</v>
      </c>
      <c r="O194" s="1" t="s">
        <v>310</v>
      </c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5.75" customHeight="1" x14ac:dyDescent="0.25">
      <c r="A195" s="122" t="s">
        <v>311</v>
      </c>
      <c r="B195" s="178">
        <f t="shared" ref="B195:H195" si="126">SUM(B192:B194)</f>
        <v>6097</v>
      </c>
      <c r="C195" s="178">
        <f t="shared" si="126"/>
        <v>3463</v>
      </c>
      <c r="D195" s="178">
        <f t="shared" si="126"/>
        <v>4140.1900000000005</v>
      </c>
      <c r="E195" s="178">
        <f t="shared" si="126"/>
        <v>4784</v>
      </c>
      <c r="F195" s="178">
        <f t="shared" si="126"/>
        <v>4280.34</v>
      </c>
      <c r="G195" s="178">
        <f t="shared" si="126"/>
        <v>5280.34</v>
      </c>
      <c r="H195" s="178">
        <f t="shared" si="126"/>
        <v>5280.34</v>
      </c>
      <c r="I195" s="178">
        <f>SUM(I193:I194)</f>
        <v>9760</v>
      </c>
      <c r="J195" s="179"/>
      <c r="K195" s="364">
        <f t="shared" ref="K195:L195" si="127">SUM(K192:K194)</f>
        <v>10500</v>
      </c>
      <c r="L195" s="365">
        <f t="shared" si="127"/>
        <v>9767.09</v>
      </c>
      <c r="M195" s="366">
        <f>SUM(M193:M194)</f>
        <v>11667.09</v>
      </c>
      <c r="N195" s="364">
        <f>SUM(N192:N194)</f>
        <v>11500</v>
      </c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  <c r="AB195" s="131"/>
      <c r="AC195" s="131"/>
      <c r="AD195" s="131"/>
      <c r="AE195" s="131"/>
    </row>
    <row r="196" spans="1:31" ht="15.75" customHeight="1" x14ac:dyDescent="0.25">
      <c r="A196" s="122" t="s">
        <v>312</v>
      </c>
      <c r="B196" s="123">
        <f>5268</f>
        <v>5268</v>
      </c>
      <c r="C196" s="123">
        <f>5344</f>
        <v>5344</v>
      </c>
      <c r="D196" s="123">
        <f>5422</f>
        <v>5422</v>
      </c>
      <c r="E196" s="123">
        <f>5709</f>
        <v>5709</v>
      </c>
      <c r="F196" s="123">
        <f>6382.5</f>
        <v>6382.5</v>
      </c>
      <c r="G196" s="123">
        <f>6370</f>
        <v>6370</v>
      </c>
      <c r="H196" s="124">
        <f t="shared" ref="H196:H198" si="128">G196</f>
        <v>6370</v>
      </c>
      <c r="I196" s="124">
        <f>6000</f>
        <v>6000</v>
      </c>
      <c r="J196" s="126" t="s">
        <v>313</v>
      </c>
      <c r="K196" s="127">
        <f>(1650*4)+(1000+220)-1820</f>
        <v>6000</v>
      </c>
      <c r="L196" s="132">
        <v>6525</v>
      </c>
      <c r="M196" s="129">
        <f t="shared" ref="M196:M198" si="129">L196</f>
        <v>6525</v>
      </c>
      <c r="N196" s="225">
        <v>7000</v>
      </c>
      <c r="O196" s="131" t="s">
        <v>314</v>
      </c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</row>
    <row r="197" spans="1:31" ht="15.75" customHeight="1" x14ac:dyDescent="0.25">
      <c r="A197" s="122" t="s">
        <v>315</v>
      </c>
      <c r="B197" s="123">
        <f t="shared" ref="B197:C197" si="130">1</f>
        <v>1</v>
      </c>
      <c r="C197" s="123">
        <f t="shared" si="130"/>
        <v>1</v>
      </c>
      <c r="D197" s="123">
        <f>68.53</f>
        <v>68.53</v>
      </c>
      <c r="E197" s="123">
        <f t="shared" ref="E197:F197" si="131">45.41</f>
        <v>45.41</v>
      </c>
      <c r="F197" s="123">
        <f t="shared" si="131"/>
        <v>45.41</v>
      </c>
      <c r="G197" s="123">
        <f>57.3</f>
        <v>57.3</v>
      </c>
      <c r="H197" s="124">
        <f t="shared" si="128"/>
        <v>57.3</v>
      </c>
      <c r="I197" s="124">
        <f>45</f>
        <v>45</v>
      </c>
      <c r="J197" s="126" t="s">
        <v>316</v>
      </c>
      <c r="K197" s="127">
        <v>1</v>
      </c>
      <c r="L197" s="132">
        <v>1.03</v>
      </c>
      <c r="M197" s="273">
        <f t="shared" si="129"/>
        <v>1.03</v>
      </c>
      <c r="N197" s="130">
        <v>1</v>
      </c>
      <c r="O197" s="131" t="s">
        <v>317</v>
      </c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  <c r="AA197" s="131"/>
      <c r="AB197" s="131"/>
      <c r="AC197" s="131"/>
      <c r="AD197" s="131"/>
      <c r="AE197" s="131"/>
    </row>
    <row r="198" spans="1:31" ht="15.75" customHeight="1" x14ac:dyDescent="0.25">
      <c r="A198" s="122" t="s">
        <v>318</v>
      </c>
      <c r="B198" s="123">
        <f>1110</f>
        <v>1110</v>
      </c>
      <c r="C198" s="123">
        <f>1136.5</f>
        <v>1136.5</v>
      </c>
      <c r="D198" s="123">
        <f>1498.75</f>
        <v>1498.75</v>
      </c>
      <c r="E198" s="123">
        <f>1463.98</f>
        <v>1463.98</v>
      </c>
      <c r="F198" s="123">
        <f>1342.63</f>
        <v>1342.63</v>
      </c>
      <c r="G198" s="123">
        <f>1830.29</f>
        <v>1830.29</v>
      </c>
      <c r="H198" s="124">
        <f t="shared" si="128"/>
        <v>1830.29</v>
      </c>
      <c r="I198" s="124">
        <f>1600</f>
        <v>1600</v>
      </c>
      <c r="J198" s="126" t="s">
        <v>28</v>
      </c>
      <c r="K198" s="127">
        <f>156.88*12</f>
        <v>1882.56</v>
      </c>
      <c r="L198" s="132">
        <v>2325.11</v>
      </c>
      <c r="M198" s="129">
        <f t="shared" si="129"/>
        <v>2325.11</v>
      </c>
      <c r="N198" s="130">
        <f>(167.86*12)+350</f>
        <v>2364.3200000000002</v>
      </c>
      <c r="O198" s="274" t="s">
        <v>319</v>
      </c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  <c r="AA198" s="131"/>
      <c r="AB198" s="131"/>
      <c r="AC198" s="131"/>
      <c r="AD198" s="131"/>
      <c r="AE198" s="131"/>
    </row>
    <row r="199" spans="1:31" ht="15.75" customHeight="1" x14ac:dyDescent="0.25">
      <c r="A199" s="122" t="s">
        <v>320</v>
      </c>
      <c r="B199" s="123"/>
      <c r="C199" s="123"/>
      <c r="D199" s="123"/>
      <c r="E199" s="123"/>
      <c r="F199" s="123"/>
      <c r="G199" s="123"/>
      <c r="H199" s="124"/>
      <c r="I199" s="124">
        <f>500</f>
        <v>500</v>
      </c>
      <c r="J199" s="126" t="s">
        <v>321</v>
      </c>
      <c r="K199" s="275">
        <v>500</v>
      </c>
      <c r="L199" s="128"/>
      <c r="M199" s="273">
        <v>0</v>
      </c>
      <c r="N199" s="130"/>
      <c r="O199" s="274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  <c r="AB199" s="131"/>
      <c r="AC199" s="131"/>
      <c r="AD199" s="131"/>
      <c r="AE199" s="131"/>
    </row>
    <row r="200" spans="1:31" ht="15.75" customHeight="1" x14ac:dyDescent="0.25">
      <c r="A200" s="276" t="s">
        <v>322</v>
      </c>
      <c r="B200" s="277"/>
      <c r="C200" s="277"/>
      <c r="D200" s="277"/>
      <c r="E200" s="277"/>
      <c r="F200" s="277"/>
      <c r="G200" s="277"/>
      <c r="H200" s="278"/>
      <c r="I200" s="278"/>
      <c r="J200" s="279"/>
      <c r="K200" s="280"/>
      <c r="L200" s="281">
        <v>4748.3100000000004</v>
      </c>
      <c r="M200" s="273">
        <f>L200</f>
        <v>4748.3100000000004</v>
      </c>
      <c r="N200" s="130"/>
      <c r="O200" s="274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  <c r="AA200" s="131"/>
      <c r="AB200" s="131"/>
      <c r="AC200" s="131"/>
      <c r="AD200" s="131"/>
      <c r="AE200" s="131"/>
    </row>
    <row r="201" spans="1:31" ht="15.75" customHeight="1" x14ac:dyDescent="0.25">
      <c r="A201" s="217" t="s">
        <v>323</v>
      </c>
      <c r="B201" s="218">
        <f t="shared" ref="B201:H201" si="132">(((((((((((((((((B159)+(B160))+(B163))+(B165))+(B172))+(B173))+(B174))+(B179))+(B180))+(B181))+(B190))+(B191))+(B195))+(B196))+(B197))+(B198)))</f>
        <v>126088.31</v>
      </c>
      <c r="C201" s="218">
        <f t="shared" si="132"/>
        <v>126320.36</v>
      </c>
      <c r="D201" s="218">
        <f t="shared" si="132"/>
        <v>122982.26999999999</v>
      </c>
      <c r="E201" s="218">
        <f t="shared" si="132"/>
        <v>104183.88999999998</v>
      </c>
      <c r="F201" s="218">
        <f t="shared" si="132"/>
        <v>94585.08</v>
      </c>
      <c r="G201" s="218">
        <f t="shared" si="132"/>
        <v>57520.740000000013</v>
      </c>
      <c r="H201" s="218">
        <f t="shared" si="132"/>
        <v>57520.740000000013</v>
      </c>
      <c r="I201" s="218">
        <f>I163+I174+SUM(I179:I191)+SUM(I195:I199)</f>
        <v>63387.46</v>
      </c>
      <c r="J201" s="219"/>
      <c r="K201" s="370">
        <f>(((((((((((((((((K159)+(K160))+(K163))+(K165))+(K172))+(K173))+(K174))+(K179))+(K180))+(K181))+(K190))+(K191))+(K195))+(K196))+(K197))+(K198)))+K199+K164</f>
        <v>89095.239999999991</v>
      </c>
      <c r="L201" s="371">
        <f>(((((((((((((((((L159)+(L160))+(L163))+(L165))+(L172))+(L173))+(L174))+(L179))+(L180))+(L184))+(L190))+(L191))+(L195))+(L196))+(L197))+(L198)))+L199+L164+L200</f>
        <v>85172.01</v>
      </c>
      <c r="M201" s="372">
        <f>SUM(M195:M200,M190:M191,M179:M180,M184,M163:M174)</f>
        <v>91259.38256916996</v>
      </c>
      <c r="N201" s="370">
        <f>(((((((((((((((((N159)+(N160))+(N163))+(N165))+(N172))+(N173))+(N174))+(N179))+(N180))+(N184))+(N190))+(N191))+(N195))+(N196))+(N197))+(N198)))+N199+N164</f>
        <v>91534.88</v>
      </c>
      <c r="O201" s="224"/>
      <c r="P201" s="224"/>
      <c r="Q201" s="224"/>
      <c r="R201" s="224"/>
      <c r="S201" s="224"/>
      <c r="T201" s="224"/>
      <c r="U201" s="224"/>
      <c r="V201" s="224"/>
      <c r="W201" s="224"/>
      <c r="X201" s="224"/>
      <c r="Y201" s="224"/>
      <c r="Z201" s="224"/>
      <c r="AA201" s="224"/>
      <c r="AB201" s="224"/>
      <c r="AC201" s="224"/>
      <c r="AD201" s="224"/>
      <c r="AE201" s="224"/>
    </row>
    <row r="202" spans="1:31" ht="15.75" customHeight="1" x14ac:dyDescent="0.25">
      <c r="A202" s="20"/>
      <c r="B202" s="21"/>
      <c r="C202" s="21"/>
      <c r="D202" s="21"/>
      <c r="E202" s="47"/>
      <c r="F202" s="22"/>
      <c r="G202" s="21"/>
      <c r="H202" s="22"/>
      <c r="I202" s="22"/>
      <c r="J202" s="23"/>
      <c r="K202" s="24"/>
      <c r="L202" s="25"/>
      <c r="M202" s="26"/>
      <c r="N202" s="24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5.75" customHeight="1" x14ac:dyDescent="0.25">
      <c r="A203" s="122" t="s">
        <v>324</v>
      </c>
      <c r="B203" s="125"/>
      <c r="C203" s="125"/>
      <c r="D203" s="125"/>
      <c r="E203" s="123">
        <f>99.18</f>
        <v>99.18</v>
      </c>
      <c r="F203" s="124"/>
      <c r="G203" s="125"/>
      <c r="H203" s="124"/>
      <c r="I203" s="124"/>
      <c r="J203" s="126"/>
      <c r="K203" s="127"/>
      <c r="L203" s="128"/>
      <c r="M203" s="129"/>
      <c r="N203" s="130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  <c r="AA203" s="131"/>
      <c r="AB203" s="131"/>
      <c r="AC203" s="131"/>
      <c r="AD203" s="131"/>
      <c r="AE203" s="131"/>
    </row>
    <row r="204" spans="1:31" ht="15.75" customHeight="1" x14ac:dyDescent="0.25">
      <c r="A204" s="122" t="s">
        <v>325</v>
      </c>
      <c r="B204" s="125"/>
      <c r="C204" s="125"/>
      <c r="D204" s="125"/>
      <c r="E204" s="125"/>
      <c r="F204" s="123">
        <f t="shared" ref="F204:G204" si="133">194.18</f>
        <v>194.18</v>
      </c>
      <c r="G204" s="123">
        <f t="shared" si="133"/>
        <v>194.18</v>
      </c>
      <c r="H204" s="124">
        <f t="shared" ref="H204:H205" si="134">G204</f>
        <v>194.18</v>
      </c>
      <c r="I204" s="124">
        <f>417.29</f>
        <v>417.29</v>
      </c>
      <c r="J204" s="126" t="s">
        <v>326</v>
      </c>
      <c r="K204" s="127">
        <v>200</v>
      </c>
      <c r="L204" s="132">
        <v>0</v>
      </c>
      <c r="M204" s="273">
        <v>0</v>
      </c>
      <c r="N204" s="130">
        <v>200</v>
      </c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  <c r="AA204" s="131"/>
      <c r="AB204" s="131"/>
      <c r="AC204" s="131"/>
      <c r="AD204" s="131"/>
      <c r="AE204" s="131"/>
    </row>
    <row r="205" spans="1:31" ht="15.75" customHeight="1" x14ac:dyDescent="0.25">
      <c r="A205" s="122" t="s">
        <v>327</v>
      </c>
      <c r="B205" s="123">
        <f>23328.56</f>
        <v>23328.560000000001</v>
      </c>
      <c r="C205" s="123">
        <f>23573.45</f>
        <v>23573.45</v>
      </c>
      <c r="D205" s="123">
        <f>27332.06</f>
        <v>27332.06</v>
      </c>
      <c r="E205" s="123">
        <f>25224.21</f>
        <v>25224.21</v>
      </c>
      <c r="F205" s="123">
        <f>25226.86</f>
        <v>25226.86</v>
      </c>
      <c r="G205" s="123">
        <f>24861.91</f>
        <v>24861.91</v>
      </c>
      <c r="H205" s="124">
        <f t="shared" si="134"/>
        <v>24861.91</v>
      </c>
      <c r="I205" s="124">
        <f>26260</f>
        <v>26260</v>
      </c>
      <c r="J205" s="126" t="s">
        <v>28</v>
      </c>
      <c r="K205" s="127">
        <f>0.1*K5</f>
        <v>26190.416013333335</v>
      </c>
      <c r="L205" s="132">
        <v>23728.54</v>
      </c>
      <c r="M205" s="129">
        <f>L205/11*12</f>
        <v>25885.68</v>
      </c>
      <c r="N205" s="130">
        <f>0.1*N5</f>
        <v>27300.921693913046</v>
      </c>
      <c r="O205" s="131" t="s">
        <v>328</v>
      </c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  <c r="AA205" s="131"/>
      <c r="AB205" s="131"/>
      <c r="AC205" s="131"/>
      <c r="AD205" s="131"/>
      <c r="AE205" s="131"/>
    </row>
    <row r="206" spans="1:31" ht="15.75" hidden="1" customHeight="1" x14ac:dyDescent="0.25">
      <c r="A206" s="122" t="s">
        <v>329</v>
      </c>
      <c r="B206" s="123">
        <f>534.23</f>
        <v>534.23</v>
      </c>
      <c r="C206" s="123">
        <f>542.38</f>
        <v>542.38</v>
      </c>
      <c r="D206" s="123">
        <f>327</f>
        <v>327</v>
      </c>
      <c r="E206" s="123">
        <f>176</f>
        <v>176</v>
      </c>
      <c r="F206" s="124"/>
      <c r="G206" s="125"/>
      <c r="H206" s="124"/>
      <c r="I206" s="124">
        <f>1050.4</f>
        <v>1050.4000000000001</v>
      </c>
      <c r="J206" s="126"/>
      <c r="K206" s="127"/>
      <c r="L206" s="128"/>
      <c r="M206" s="129"/>
      <c r="N206" s="130"/>
      <c r="O206" s="282" t="s">
        <v>298</v>
      </c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  <c r="AA206" s="131"/>
      <c r="AB206" s="131"/>
      <c r="AC206" s="131"/>
      <c r="AD206" s="131"/>
      <c r="AE206" s="131"/>
    </row>
    <row r="207" spans="1:31" ht="15.75" customHeight="1" x14ac:dyDescent="0.25">
      <c r="A207" s="46" t="s">
        <v>330</v>
      </c>
      <c r="B207" s="47">
        <f>4382.43</f>
        <v>4382.43</v>
      </c>
      <c r="C207" s="47">
        <f>3924.99</f>
        <v>3924.99</v>
      </c>
      <c r="D207" s="47">
        <f>6460.56</f>
        <v>6460.56</v>
      </c>
      <c r="E207" s="47">
        <f>5960</f>
        <v>5960</v>
      </c>
      <c r="F207" s="47">
        <f>570</f>
        <v>570</v>
      </c>
      <c r="G207" s="21"/>
      <c r="H207" s="22"/>
      <c r="I207" s="22"/>
      <c r="J207" s="23"/>
      <c r="K207" s="24"/>
      <c r="L207" s="25"/>
      <c r="M207" s="26"/>
      <c r="N207" s="24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5.75" customHeight="1" x14ac:dyDescent="0.25">
      <c r="A208" s="46" t="s">
        <v>331</v>
      </c>
      <c r="B208" s="21"/>
      <c r="C208" s="21"/>
      <c r="D208" s="21"/>
      <c r="E208" s="21"/>
      <c r="F208" s="47">
        <f>2023.78</f>
        <v>2023.78</v>
      </c>
      <c r="G208" s="47">
        <f>3484.5</f>
        <v>3484.5</v>
      </c>
      <c r="H208" s="22">
        <f t="shared" ref="H208:H210" si="135">G208</f>
        <v>3484.5</v>
      </c>
      <c r="I208" s="22">
        <f>4201.6</f>
        <v>4201.6000000000004</v>
      </c>
      <c r="J208" s="23" t="s">
        <v>28</v>
      </c>
      <c r="K208" s="283">
        <f>0.02*K5</f>
        <v>5238.0832026666676</v>
      </c>
      <c r="L208" s="284">
        <v>3451.12</v>
      </c>
      <c r="M208" s="285">
        <f t="shared" ref="M208:M209" si="136">L208/11.5*12</f>
        <v>3601.1686956521735</v>
      </c>
      <c r="N208" s="191">
        <f>0.02*N5</f>
        <v>5460.1843387826093</v>
      </c>
      <c r="O208" s="1" t="s">
        <v>332</v>
      </c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5.75" customHeight="1" x14ac:dyDescent="0.25">
      <c r="A209" s="46" t="s">
        <v>333</v>
      </c>
      <c r="B209" s="21"/>
      <c r="C209" s="21"/>
      <c r="D209" s="21"/>
      <c r="E209" s="21"/>
      <c r="F209" s="47">
        <f>235.55</f>
        <v>235.55</v>
      </c>
      <c r="G209" s="47">
        <f>412.1</f>
        <v>412.1</v>
      </c>
      <c r="H209" s="22">
        <f t="shared" si="135"/>
        <v>412.1</v>
      </c>
      <c r="I209" s="22">
        <f>850</f>
        <v>850</v>
      </c>
      <c r="J209" s="23" t="s">
        <v>33</v>
      </c>
      <c r="K209" s="24">
        <f>K18</f>
        <v>600</v>
      </c>
      <c r="L209" s="51">
        <v>480.4</v>
      </c>
      <c r="M209" s="26">
        <f t="shared" si="136"/>
        <v>501.28695652173911</v>
      </c>
      <c r="N209" s="71">
        <v>500</v>
      </c>
      <c r="O209" s="1" t="s">
        <v>334</v>
      </c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5.75" customHeight="1" x14ac:dyDescent="0.25">
      <c r="A210" s="46" t="s">
        <v>335</v>
      </c>
      <c r="B210" s="21"/>
      <c r="C210" s="21"/>
      <c r="D210" s="21"/>
      <c r="E210" s="21"/>
      <c r="F210" s="47">
        <f>120</f>
        <v>120</v>
      </c>
      <c r="G210" s="47">
        <f>5355</f>
        <v>5355</v>
      </c>
      <c r="H210" s="22">
        <f t="shared" si="135"/>
        <v>5355</v>
      </c>
      <c r="I210" s="22"/>
      <c r="J210" s="23"/>
      <c r="K210" s="373">
        <v>0</v>
      </c>
      <c r="L210" s="374">
        <v>3154.38</v>
      </c>
      <c r="M210" s="375">
        <f>L210/11.2*12</f>
        <v>3379.692857142858</v>
      </c>
      <c r="N210" s="373"/>
      <c r="O210" s="1" t="s">
        <v>336</v>
      </c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5.75" customHeight="1" x14ac:dyDescent="0.25">
      <c r="A211" s="122" t="s">
        <v>337</v>
      </c>
      <c r="B211" s="178">
        <f t="shared" ref="B211:H211" si="137">SUM(B207:B210)</f>
        <v>4382.43</v>
      </c>
      <c r="C211" s="178">
        <f t="shared" si="137"/>
        <v>3924.99</v>
      </c>
      <c r="D211" s="178">
        <f t="shared" si="137"/>
        <v>6460.56</v>
      </c>
      <c r="E211" s="178">
        <f t="shared" si="137"/>
        <v>5960</v>
      </c>
      <c r="F211" s="178">
        <f t="shared" si="137"/>
        <v>2949.33</v>
      </c>
      <c r="G211" s="178">
        <f t="shared" si="137"/>
        <v>9251.6</v>
      </c>
      <c r="H211" s="178">
        <f t="shared" si="137"/>
        <v>9251.6</v>
      </c>
      <c r="I211" s="178">
        <f>SUM(I208:I210)</f>
        <v>5051.6000000000004</v>
      </c>
      <c r="J211" s="179"/>
      <c r="K211" s="364">
        <f t="shared" ref="K211:L211" si="138">SUM(K207:K210)</f>
        <v>5838.0832026666676</v>
      </c>
      <c r="L211" s="365">
        <f t="shared" si="138"/>
        <v>7085.9</v>
      </c>
      <c r="M211" s="366">
        <f>SUM(M208:M210)</f>
        <v>7482.1485093167703</v>
      </c>
      <c r="N211" s="364">
        <f>SUM(N207:N210)</f>
        <v>5960.1843387826093</v>
      </c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  <c r="AA211" s="131"/>
      <c r="AB211" s="131"/>
      <c r="AC211" s="131"/>
      <c r="AD211" s="131"/>
      <c r="AE211" s="131"/>
    </row>
    <row r="212" spans="1:31" ht="15.75" customHeight="1" x14ac:dyDescent="0.25">
      <c r="A212" s="122" t="s">
        <v>338</v>
      </c>
      <c r="B212" s="125"/>
      <c r="C212" s="125"/>
      <c r="D212" s="125"/>
      <c r="E212" s="123">
        <f>3115</f>
        <v>3115</v>
      </c>
      <c r="F212" s="123">
        <f>2865.64</f>
        <v>2865.64</v>
      </c>
      <c r="G212" s="123">
        <f>2625.96</f>
        <v>2625.96</v>
      </c>
      <c r="H212" s="124">
        <f>G212</f>
        <v>2625.96</v>
      </c>
      <c r="I212" s="124">
        <f>2626</f>
        <v>2626</v>
      </c>
      <c r="J212" s="126" t="s">
        <v>28</v>
      </c>
      <c r="K212" s="376">
        <v>2500</v>
      </c>
      <c r="L212" s="281">
        <v>2500</v>
      </c>
      <c r="M212" s="377">
        <f>L212</f>
        <v>2500</v>
      </c>
      <c r="N212" s="376">
        <f>N5*0.01</f>
        <v>2730.0921693913047</v>
      </c>
      <c r="O212" s="274" t="s">
        <v>339</v>
      </c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  <c r="AA212" s="131"/>
      <c r="AB212" s="131"/>
      <c r="AC212" s="131"/>
      <c r="AD212" s="131"/>
      <c r="AE212" s="131"/>
    </row>
    <row r="213" spans="1:31" ht="15.75" customHeight="1" x14ac:dyDescent="0.25">
      <c r="A213" s="217" t="s">
        <v>340</v>
      </c>
      <c r="B213" s="218">
        <f t="shared" ref="B213:H213" si="139">SUM(B203:B206)+SUM(B211:B212)</f>
        <v>28245.22</v>
      </c>
      <c r="C213" s="218">
        <f t="shared" si="139"/>
        <v>28040.82</v>
      </c>
      <c r="D213" s="218">
        <f t="shared" si="139"/>
        <v>34119.620000000003</v>
      </c>
      <c r="E213" s="218">
        <f t="shared" si="139"/>
        <v>34574.39</v>
      </c>
      <c r="F213" s="218">
        <f t="shared" si="139"/>
        <v>31236.010000000002</v>
      </c>
      <c r="G213" s="218">
        <f t="shared" si="139"/>
        <v>36933.65</v>
      </c>
      <c r="H213" s="218">
        <f t="shared" si="139"/>
        <v>36933.65</v>
      </c>
      <c r="I213" s="218">
        <f>SUM(I204:I206)+I211+I212</f>
        <v>35405.29</v>
      </c>
      <c r="J213" s="219"/>
      <c r="K213" s="370">
        <f t="shared" ref="K213:L213" si="140">SUM(K203:K206)+SUM(K211:K212)</f>
        <v>34728.499216000004</v>
      </c>
      <c r="L213" s="371">
        <f t="shared" si="140"/>
        <v>33314.44</v>
      </c>
      <c r="M213" s="372">
        <f>SUM(M211:M212,M204:M205)</f>
        <v>35867.828509316772</v>
      </c>
      <c r="N213" s="370">
        <f>SUM(N203:N206)+SUM(N211:N212)</f>
        <v>36191.198202086962</v>
      </c>
      <c r="O213" s="224"/>
      <c r="P213" s="224"/>
      <c r="Q213" s="224"/>
      <c r="R213" s="224"/>
      <c r="S213" s="224"/>
      <c r="T213" s="224"/>
      <c r="U213" s="224"/>
      <c r="V213" s="224"/>
      <c r="W213" s="224"/>
      <c r="X213" s="224"/>
      <c r="Y213" s="224"/>
      <c r="Z213" s="224"/>
      <c r="AA213" s="224"/>
      <c r="AB213" s="224"/>
      <c r="AC213" s="224"/>
      <c r="AD213" s="224"/>
      <c r="AE213" s="224"/>
    </row>
    <row r="214" spans="1:31" ht="15.75" customHeight="1" x14ac:dyDescent="0.25">
      <c r="A214" s="20"/>
      <c r="B214" s="47"/>
      <c r="C214" s="47"/>
      <c r="D214" s="21"/>
      <c r="E214" s="21"/>
      <c r="F214" s="22"/>
      <c r="G214" s="21"/>
      <c r="H214" s="22"/>
      <c r="I214" s="22"/>
      <c r="J214" s="23"/>
      <c r="K214" s="24"/>
      <c r="L214" s="25"/>
      <c r="M214" s="26"/>
      <c r="N214" s="2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5.75" customHeight="1" x14ac:dyDescent="0.25">
      <c r="A215" s="122" t="s">
        <v>341</v>
      </c>
      <c r="B215" s="123">
        <f>431.03</f>
        <v>431.03</v>
      </c>
      <c r="C215" s="123">
        <f>75.8</f>
        <v>75.8</v>
      </c>
      <c r="D215" s="125"/>
      <c r="E215" s="125"/>
      <c r="F215" s="124"/>
      <c r="G215" s="125"/>
      <c r="H215" s="124"/>
      <c r="I215" s="124"/>
      <c r="J215" s="126"/>
      <c r="K215" s="127"/>
      <c r="L215" s="128"/>
      <c r="M215" s="129"/>
      <c r="N215" s="130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  <c r="AA215" s="131"/>
      <c r="AB215" s="131"/>
      <c r="AC215" s="131"/>
      <c r="AD215" s="131"/>
      <c r="AE215" s="131"/>
    </row>
    <row r="216" spans="1:31" ht="15.75" customHeight="1" x14ac:dyDescent="0.25">
      <c r="A216" s="122" t="s">
        <v>342</v>
      </c>
      <c r="B216" s="123">
        <f>233.2</f>
        <v>233.2</v>
      </c>
      <c r="C216" s="123">
        <f>230.39</f>
        <v>230.39</v>
      </c>
      <c r="D216" s="123">
        <f>543.68</f>
        <v>543.67999999999995</v>
      </c>
      <c r="E216" s="123">
        <f>727.67</f>
        <v>727.67</v>
      </c>
      <c r="F216" s="123">
        <f>349.01</f>
        <v>349.01</v>
      </c>
      <c r="G216" s="123">
        <f>866.04</f>
        <v>866.04</v>
      </c>
      <c r="H216" s="124">
        <f>G216</f>
        <v>866.04</v>
      </c>
      <c r="I216" s="124">
        <f>200</f>
        <v>200</v>
      </c>
      <c r="J216" s="126" t="s">
        <v>343</v>
      </c>
      <c r="K216" s="127">
        <v>500</v>
      </c>
      <c r="L216" s="132">
        <v>738.45</v>
      </c>
      <c r="M216" s="129">
        <f>L216/11.5*12</f>
        <v>770.5565217391304</v>
      </c>
      <c r="N216" s="130">
        <v>500</v>
      </c>
      <c r="O216" s="131" t="s">
        <v>344</v>
      </c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  <c r="AA216" s="131"/>
      <c r="AB216" s="131"/>
      <c r="AC216" s="131"/>
      <c r="AD216" s="131"/>
      <c r="AE216" s="131"/>
    </row>
    <row r="217" spans="1:31" ht="15.75" customHeight="1" x14ac:dyDescent="0.25">
      <c r="A217" s="122" t="s">
        <v>345</v>
      </c>
      <c r="B217" s="123">
        <f>434.46</f>
        <v>434.46</v>
      </c>
      <c r="C217" s="123">
        <f>563.26</f>
        <v>563.26</v>
      </c>
      <c r="D217" s="123">
        <f>695.7</f>
        <v>695.7</v>
      </c>
      <c r="E217" s="123">
        <f>771.88</f>
        <v>771.88</v>
      </c>
      <c r="F217" s="123">
        <f>550</f>
        <v>550</v>
      </c>
      <c r="G217" s="123"/>
      <c r="H217" s="124"/>
      <c r="I217" s="124">
        <f>350</f>
        <v>350</v>
      </c>
      <c r="J217" s="126" t="s">
        <v>346</v>
      </c>
      <c r="K217" s="127">
        <f>K36+100</f>
        <v>475</v>
      </c>
      <c r="L217" s="128">
        <v>59.29</v>
      </c>
      <c r="M217" s="129">
        <f>L217*3</f>
        <v>177.87</v>
      </c>
      <c r="N217" s="130">
        <f>N36+100</f>
        <v>800</v>
      </c>
      <c r="O217" s="131" t="s">
        <v>347</v>
      </c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  <c r="AA217" s="131"/>
      <c r="AB217" s="131"/>
      <c r="AC217" s="131"/>
      <c r="AD217" s="131"/>
      <c r="AE217" s="131"/>
    </row>
    <row r="218" spans="1:31" ht="15.75" customHeight="1" x14ac:dyDescent="0.25">
      <c r="A218" s="122" t="s">
        <v>348</v>
      </c>
      <c r="B218" s="123">
        <f>258.85</f>
        <v>258.85000000000002</v>
      </c>
      <c r="C218" s="123">
        <f>29.67</f>
        <v>29.67</v>
      </c>
      <c r="D218" s="123">
        <f>53.94</f>
        <v>53.94</v>
      </c>
      <c r="E218" s="123">
        <f>56.55</f>
        <v>56.55</v>
      </c>
      <c r="F218" s="123">
        <f>580.93</f>
        <v>580.92999999999995</v>
      </c>
      <c r="G218" s="123">
        <f>601.11</f>
        <v>601.11</v>
      </c>
      <c r="H218" s="124">
        <f>G218</f>
        <v>601.11</v>
      </c>
      <c r="I218" s="124">
        <f>50</f>
        <v>50</v>
      </c>
      <c r="J218" s="126" t="s">
        <v>33</v>
      </c>
      <c r="K218" s="127">
        <v>350</v>
      </c>
      <c r="L218" s="132">
        <v>213.27</v>
      </c>
      <c r="M218" s="273">
        <f>L218/11.5*12</f>
        <v>222.54260869565218</v>
      </c>
      <c r="N218" s="130">
        <v>350</v>
      </c>
      <c r="O218" s="131" t="s">
        <v>349</v>
      </c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1"/>
    </row>
    <row r="219" spans="1:31" ht="15.75" customHeight="1" x14ac:dyDescent="0.25">
      <c r="A219" s="122" t="s">
        <v>350</v>
      </c>
      <c r="B219" s="125"/>
      <c r="C219" s="123">
        <f>57.31</f>
        <v>57.31</v>
      </c>
      <c r="D219" s="125"/>
      <c r="E219" s="125"/>
      <c r="F219" s="124"/>
      <c r="G219" s="125"/>
      <c r="H219" s="124"/>
      <c r="I219" s="124"/>
      <c r="J219" s="126"/>
      <c r="K219" s="127"/>
      <c r="L219" s="128"/>
      <c r="M219" s="129"/>
      <c r="N219" s="130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  <c r="AB219" s="131"/>
      <c r="AC219" s="131"/>
      <c r="AD219" s="131"/>
      <c r="AE219" s="131"/>
    </row>
    <row r="220" spans="1:31" ht="15.75" customHeight="1" x14ac:dyDescent="0.25">
      <c r="A220" s="122" t="s">
        <v>351</v>
      </c>
      <c r="B220" s="125"/>
      <c r="C220" s="125"/>
      <c r="D220" s="125"/>
      <c r="E220" s="123">
        <f t="shared" ref="E220:F220" si="141">2017.01</f>
        <v>2017.01</v>
      </c>
      <c r="F220" s="123">
        <f t="shared" si="141"/>
        <v>2017.01</v>
      </c>
      <c r="G220" s="125"/>
      <c r="H220" s="124"/>
      <c r="I220" s="124"/>
      <c r="J220" s="126"/>
      <c r="K220" s="376"/>
      <c r="L220" s="378"/>
      <c r="M220" s="377"/>
      <c r="N220" s="376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  <c r="AA220" s="131"/>
      <c r="AB220" s="131"/>
      <c r="AC220" s="131"/>
      <c r="AD220" s="131"/>
      <c r="AE220" s="131"/>
    </row>
    <row r="221" spans="1:31" ht="15.75" customHeight="1" x14ac:dyDescent="0.25">
      <c r="A221" s="217" t="s">
        <v>352</v>
      </c>
      <c r="B221" s="218">
        <f t="shared" ref="B221:H221" si="142">SUM(B215:B220)</f>
        <v>1357.54</v>
      </c>
      <c r="C221" s="218">
        <f t="shared" si="142"/>
        <v>956.43000000000006</v>
      </c>
      <c r="D221" s="218">
        <f t="shared" si="142"/>
        <v>1293.3200000000002</v>
      </c>
      <c r="E221" s="218">
        <f t="shared" si="142"/>
        <v>3573.1099999999997</v>
      </c>
      <c r="F221" s="218">
        <f t="shared" si="142"/>
        <v>3496.95</v>
      </c>
      <c r="G221" s="218">
        <f t="shared" si="142"/>
        <v>1467.15</v>
      </c>
      <c r="H221" s="218">
        <f t="shared" si="142"/>
        <v>1467.15</v>
      </c>
      <c r="I221" s="218">
        <f>SUM(I216:I220)</f>
        <v>600</v>
      </c>
      <c r="J221" s="219"/>
      <c r="K221" s="370">
        <f t="shared" ref="K221:L221" si="143">SUM(K215:K220)</f>
        <v>1325</v>
      </c>
      <c r="L221" s="371">
        <f t="shared" si="143"/>
        <v>1011.01</v>
      </c>
      <c r="M221" s="372">
        <f>SUM(M216:M220)</f>
        <v>1170.9691304347825</v>
      </c>
      <c r="N221" s="370">
        <f>SUM(N215:N220)</f>
        <v>1650</v>
      </c>
      <c r="O221" s="224"/>
      <c r="P221" s="224"/>
      <c r="Q221" s="224"/>
      <c r="R221" s="224"/>
      <c r="S221" s="224"/>
      <c r="T221" s="224"/>
      <c r="U221" s="224"/>
      <c r="V221" s="224"/>
      <c r="W221" s="224"/>
      <c r="X221" s="224"/>
      <c r="Y221" s="224"/>
      <c r="Z221" s="224"/>
      <c r="AA221" s="224"/>
      <c r="AB221" s="224"/>
      <c r="AC221" s="224"/>
      <c r="AD221" s="224"/>
      <c r="AE221" s="224"/>
    </row>
    <row r="222" spans="1:31" ht="15.75" customHeight="1" x14ac:dyDescent="0.25">
      <c r="A222" s="20"/>
      <c r="B222" s="21"/>
      <c r="C222" s="21"/>
      <c r="D222" s="21"/>
      <c r="E222" s="21"/>
      <c r="F222" s="22"/>
      <c r="G222" s="21"/>
      <c r="H222" s="22"/>
      <c r="I222" s="22"/>
      <c r="J222" s="23"/>
      <c r="K222" s="24"/>
      <c r="L222" s="25"/>
      <c r="M222" s="26"/>
      <c r="N222" s="24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5.75" customHeight="1" x14ac:dyDescent="0.25">
      <c r="A223" s="122" t="s">
        <v>353</v>
      </c>
      <c r="B223" s="125"/>
      <c r="C223" s="125"/>
      <c r="D223" s="125"/>
      <c r="E223" s="125"/>
      <c r="F223" s="124"/>
      <c r="G223" s="125"/>
      <c r="H223" s="124"/>
      <c r="I223" s="124"/>
      <c r="J223" s="126"/>
      <c r="K223" s="127"/>
      <c r="L223" s="128"/>
      <c r="M223" s="129"/>
      <c r="N223" s="130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  <c r="AA223" s="131"/>
      <c r="AB223" s="131"/>
      <c r="AC223" s="131"/>
      <c r="AD223" s="131"/>
      <c r="AE223" s="131"/>
    </row>
    <row r="224" spans="1:31" ht="15.75" customHeight="1" x14ac:dyDescent="0.25">
      <c r="A224" s="122" t="s">
        <v>354</v>
      </c>
      <c r="B224" s="125"/>
      <c r="C224" s="125"/>
      <c r="D224" s="125"/>
      <c r="E224" s="125"/>
      <c r="F224" s="124"/>
      <c r="G224" s="125">
        <f>400</f>
        <v>400</v>
      </c>
      <c r="H224" s="124">
        <f>G224</f>
        <v>400</v>
      </c>
      <c r="I224" s="124">
        <f>200</f>
        <v>200</v>
      </c>
      <c r="J224" s="126" t="s">
        <v>115</v>
      </c>
      <c r="K224" s="127">
        <f>5*100</f>
        <v>500</v>
      </c>
      <c r="L224" s="132">
        <v>663.65</v>
      </c>
      <c r="M224" s="129">
        <f>L224</f>
        <v>663.65</v>
      </c>
      <c r="N224" s="130">
        <f>5*100</f>
        <v>500</v>
      </c>
      <c r="O224" s="131" t="s">
        <v>355</v>
      </c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  <c r="AA224" s="131"/>
      <c r="AB224" s="131"/>
      <c r="AC224" s="131"/>
      <c r="AD224" s="131"/>
      <c r="AE224" s="131"/>
    </row>
    <row r="225" spans="1:31" ht="15.75" hidden="1" customHeight="1" x14ac:dyDescent="0.25">
      <c r="A225" s="122" t="s">
        <v>356</v>
      </c>
      <c r="B225" s="123">
        <f t="shared" ref="B225:C225" si="144">500</f>
        <v>500</v>
      </c>
      <c r="C225" s="123">
        <f t="shared" si="144"/>
        <v>500</v>
      </c>
      <c r="D225" s="125"/>
      <c r="E225" s="125"/>
      <c r="F225" s="124"/>
      <c r="G225" s="125"/>
      <c r="H225" s="124"/>
      <c r="I225" s="124"/>
      <c r="J225" s="126"/>
      <c r="K225" s="127"/>
      <c r="L225" s="128"/>
      <c r="M225" s="129"/>
      <c r="N225" s="130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  <c r="AA225" s="131"/>
      <c r="AB225" s="131"/>
      <c r="AC225" s="131"/>
      <c r="AD225" s="131"/>
      <c r="AE225" s="131"/>
    </row>
    <row r="226" spans="1:31" ht="15.75" customHeight="1" x14ac:dyDescent="0.25">
      <c r="A226" s="46" t="s">
        <v>357</v>
      </c>
      <c r="B226" s="21"/>
      <c r="C226" s="21"/>
      <c r="D226" s="21"/>
      <c r="E226" s="21"/>
      <c r="F226" s="22"/>
      <c r="G226" s="21"/>
      <c r="H226" s="22"/>
      <c r="I226" s="22"/>
      <c r="J226" s="23"/>
      <c r="K226" s="24"/>
      <c r="L226" s="25"/>
      <c r="M226" s="26"/>
      <c r="N226" s="24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5.75" customHeight="1" x14ac:dyDescent="0.25">
      <c r="A227" s="46" t="s">
        <v>358</v>
      </c>
      <c r="B227" s="47">
        <f>492</f>
        <v>492</v>
      </c>
      <c r="C227" s="47">
        <f t="shared" ref="C227:D227" si="145">509</f>
        <v>509</v>
      </c>
      <c r="D227" s="47">
        <f t="shared" si="145"/>
        <v>509</v>
      </c>
      <c r="E227" s="47">
        <f t="shared" ref="E227:F227" si="146">520</f>
        <v>520</v>
      </c>
      <c r="F227" s="47">
        <f t="shared" si="146"/>
        <v>520</v>
      </c>
      <c r="G227" s="21">
        <f>541</f>
        <v>541</v>
      </c>
      <c r="H227" s="22">
        <f t="shared" ref="H227:H229" si="147">G227</f>
        <v>541</v>
      </c>
      <c r="I227" s="55">
        <f>520</f>
        <v>520</v>
      </c>
      <c r="J227" s="72" t="s">
        <v>346</v>
      </c>
      <c r="K227" s="73">
        <f>235+149+157</f>
        <v>541</v>
      </c>
      <c r="L227" s="74"/>
      <c r="M227" s="52">
        <v>425</v>
      </c>
      <c r="N227" s="71">
        <v>559</v>
      </c>
      <c r="O227" s="192" t="s">
        <v>359</v>
      </c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5.75" customHeight="1" x14ac:dyDescent="0.25">
      <c r="A228" s="46" t="s">
        <v>360</v>
      </c>
      <c r="B228" s="21"/>
      <c r="C228" s="21"/>
      <c r="D228" s="21"/>
      <c r="E228" s="47">
        <f t="shared" ref="E228:G228" si="148">250</f>
        <v>250</v>
      </c>
      <c r="F228" s="47">
        <f t="shared" si="148"/>
        <v>250</v>
      </c>
      <c r="G228" s="47">
        <f t="shared" si="148"/>
        <v>250</v>
      </c>
      <c r="H228" s="22">
        <f t="shared" si="147"/>
        <v>250</v>
      </c>
      <c r="I228" s="55">
        <f>250</f>
        <v>250</v>
      </c>
      <c r="J228" s="72" t="s">
        <v>25</v>
      </c>
      <c r="K228" s="73">
        <v>250</v>
      </c>
      <c r="L228" s="74">
        <v>250</v>
      </c>
      <c r="M228" s="26">
        <f t="shared" ref="M228:M229" si="149">L228</f>
        <v>250</v>
      </c>
      <c r="N228" s="71">
        <v>265</v>
      </c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5.75" customHeight="1" x14ac:dyDescent="0.25">
      <c r="A229" s="46" t="s">
        <v>361</v>
      </c>
      <c r="B229" s="21"/>
      <c r="C229" s="21"/>
      <c r="D229" s="21"/>
      <c r="E229" s="21"/>
      <c r="F229" s="47">
        <f t="shared" ref="F229:G229" si="150">69</f>
        <v>69</v>
      </c>
      <c r="G229" s="47">
        <f t="shared" si="150"/>
        <v>69</v>
      </c>
      <c r="H229" s="22">
        <f t="shared" si="147"/>
        <v>69</v>
      </c>
      <c r="I229" s="55">
        <f>65</f>
        <v>65</v>
      </c>
      <c r="J229" s="72" t="s">
        <v>230</v>
      </c>
      <c r="K229" s="379">
        <v>73</v>
      </c>
      <c r="L229" s="380">
        <v>73</v>
      </c>
      <c r="M229" s="375">
        <f t="shared" si="149"/>
        <v>73</v>
      </c>
      <c r="N229" s="381">
        <v>88</v>
      </c>
      <c r="O229" s="1" t="s">
        <v>362</v>
      </c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5.75" customHeight="1" x14ac:dyDescent="0.25">
      <c r="A230" s="122" t="s">
        <v>363</v>
      </c>
      <c r="B230" s="178">
        <f t="shared" ref="B230:H230" si="151">SUM(B226:B229)</f>
        <v>492</v>
      </c>
      <c r="C230" s="178">
        <f t="shared" si="151"/>
        <v>509</v>
      </c>
      <c r="D230" s="178">
        <f t="shared" si="151"/>
        <v>509</v>
      </c>
      <c r="E230" s="178">
        <f t="shared" si="151"/>
        <v>770</v>
      </c>
      <c r="F230" s="178">
        <f t="shared" si="151"/>
        <v>839</v>
      </c>
      <c r="G230" s="178">
        <f t="shared" si="151"/>
        <v>860</v>
      </c>
      <c r="H230" s="178">
        <f t="shared" si="151"/>
        <v>860</v>
      </c>
      <c r="I230" s="178">
        <f>SUM(I227:I229)</f>
        <v>835</v>
      </c>
      <c r="J230" s="179"/>
      <c r="K230" s="364">
        <f t="shared" ref="K230:L230" si="152">SUM(K226:K229)</f>
        <v>864</v>
      </c>
      <c r="L230" s="365">
        <f t="shared" si="152"/>
        <v>323</v>
      </c>
      <c r="M230" s="366">
        <f>SUM(M227:M229)</f>
        <v>748</v>
      </c>
      <c r="N230" s="364">
        <f>SUM(N226:N229)</f>
        <v>912</v>
      </c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  <c r="AA230" s="131"/>
      <c r="AB230" s="131"/>
      <c r="AC230" s="131"/>
      <c r="AD230" s="131"/>
      <c r="AE230" s="131"/>
    </row>
    <row r="231" spans="1:31" ht="15.75" customHeight="1" x14ac:dyDescent="0.25">
      <c r="A231" s="46" t="s">
        <v>364</v>
      </c>
      <c r="B231" s="21"/>
      <c r="C231" s="21"/>
      <c r="D231" s="21"/>
      <c r="E231" s="21"/>
      <c r="F231" s="22"/>
      <c r="G231" s="21"/>
      <c r="H231" s="22"/>
      <c r="I231" s="22"/>
      <c r="J231" s="23"/>
      <c r="K231" s="24"/>
      <c r="L231" s="25"/>
      <c r="M231" s="26"/>
      <c r="N231" s="71">
        <v>3000</v>
      </c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5.75" customHeight="1" x14ac:dyDescent="0.25">
      <c r="A232" s="46" t="s">
        <v>365</v>
      </c>
      <c r="B232" s="21"/>
      <c r="C232" s="21"/>
      <c r="D232" s="21"/>
      <c r="E232" s="47"/>
      <c r="F232" s="47"/>
      <c r="G232" s="47"/>
      <c r="H232" s="22"/>
      <c r="I232" s="22">
        <f>1000</f>
        <v>1000</v>
      </c>
      <c r="J232" s="23"/>
      <c r="K232" s="24"/>
      <c r="L232" s="25"/>
      <c r="M232" s="26"/>
      <c r="N232" s="24"/>
      <c r="O232" s="286">
        <f>6050.52</f>
        <v>6050.52</v>
      </c>
      <c r="P232" s="1" t="s">
        <v>366</v>
      </c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5.75" customHeight="1" x14ac:dyDescent="0.25">
      <c r="A233" s="46" t="s">
        <v>367</v>
      </c>
      <c r="B233" s="21"/>
      <c r="C233" s="21"/>
      <c r="D233" s="21"/>
      <c r="E233" s="47">
        <f>19.81</f>
        <v>19.809999999999999</v>
      </c>
      <c r="F233" s="47">
        <f>319.8</f>
        <v>319.8</v>
      </c>
      <c r="G233" s="47">
        <f>299.99</f>
        <v>299.99</v>
      </c>
      <c r="H233" s="22">
        <f>G233</f>
        <v>299.99</v>
      </c>
      <c r="I233" s="22">
        <f t="shared" ref="I233:I236" si="153">500</f>
        <v>500</v>
      </c>
      <c r="J233" s="23" t="s">
        <v>368</v>
      </c>
      <c r="K233" s="24">
        <f>O232/4</f>
        <v>1512.63</v>
      </c>
      <c r="L233" s="51">
        <v>1512.63</v>
      </c>
      <c r="M233" s="26">
        <f t="shared" ref="M233:M236" si="154">L233</f>
        <v>1512.63</v>
      </c>
      <c r="N233" s="24"/>
      <c r="O233" s="287">
        <v>0</v>
      </c>
      <c r="P233" s="1" t="s">
        <v>369</v>
      </c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5.75" customHeight="1" x14ac:dyDescent="0.25">
      <c r="A234" s="46" t="s">
        <v>370</v>
      </c>
      <c r="B234" s="21"/>
      <c r="C234" s="21"/>
      <c r="D234" s="21"/>
      <c r="E234" s="47"/>
      <c r="F234" s="47"/>
      <c r="G234" s="47"/>
      <c r="H234" s="22"/>
      <c r="I234" s="22">
        <f t="shared" si="153"/>
        <v>500</v>
      </c>
      <c r="J234" s="23" t="s">
        <v>368</v>
      </c>
      <c r="K234" s="24">
        <f>O232/4</f>
        <v>1512.63</v>
      </c>
      <c r="L234" s="51">
        <v>1512.63</v>
      </c>
      <c r="M234" s="26">
        <f t="shared" si="154"/>
        <v>1512.63</v>
      </c>
      <c r="N234" s="2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5.75" customHeight="1" x14ac:dyDescent="0.25">
      <c r="A235" s="46" t="s">
        <v>371</v>
      </c>
      <c r="B235" s="21"/>
      <c r="C235" s="21"/>
      <c r="D235" s="21"/>
      <c r="E235" s="47"/>
      <c r="F235" s="47"/>
      <c r="G235" s="47"/>
      <c r="H235" s="22"/>
      <c r="I235" s="22">
        <f t="shared" si="153"/>
        <v>500</v>
      </c>
      <c r="J235" s="23" t="s">
        <v>368</v>
      </c>
      <c r="K235" s="24">
        <f>O232/4</f>
        <v>1512.63</v>
      </c>
      <c r="L235" s="25"/>
      <c r="M235" s="26">
        <f t="shared" si="154"/>
        <v>0</v>
      </c>
      <c r="N235" s="2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5.75" customHeight="1" x14ac:dyDescent="0.25">
      <c r="A236" s="46" t="s">
        <v>372</v>
      </c>
      <c r="B236" s="21"/>
      <c r="C236" s="21"/>
      <c r="D236" s="21"/>
      <c r="E236" s="47"/>
      <c r="F236" s="47"/>
      <c r="G236" s="47"/>
      <c r="H236" s="22"/>
      <c r="I236" s="22">
        <f t="shared" si="153"/>
        <v>500</v>
      </c>
      <c r="J236" s="23" t="s">
        <v>368</v>
      </c>
      <c r="K236" s="24">
        <f>O232/4</f>
        <v>1512.63</v>
      </c>
      <c r="L236" s="25"/>
      <c r="M236" s="26">
        <f t="shared" si="154"/>
        <v>0</v>
      </c>
      <c r="N236" s="2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5.75" customHeight="1" x14ac:dyDescent="0.25">
      <c r="A237" s="122" t="s">
        <v>373</v>
      </c>
      <c r="B237" s="178">
        <f t="shared" ref="B237:H237" si="155">SUM(B231:B233)</f>
        <v>0</v>
      </c>
      <c r="C237" s="178">
        <f t="shared" si="155"/>
        <v>0</v>
      </c>
      <c r="D237" s="178">
        <f t="shared" si="155"/>
        <v>0</v>
      </c>
      <c r="E237" s="178">
        <f t="shared" si="155"/>
        <v>19.809999999999999</v>
      </c>
      <c r="F237" s="178">
        <f t="shared" si="155"/>
        <v>319.8</v>
      </c>
      <c r="G237" s="178">
        <f t="shared" si="155"/>
        <v>299.99</v>
      </c>
      <c r="H237" s="178">
        <f t="shared" si="155"/>
        <v>299.99</v>
      </c>
      <c r="I237" s="178">
        <f>SUM(I232:I236)</f>
        <v>3000</v>
      </c>
      <c r="J237" s="179"/>
      <c r="K237" s="364">
        <f t="shared" ref="K237:L237" si="156">SUM(K231:K236)</f>
        <v>6050.52</v>
      </c>
      <c r="L237" s="382">
        <f t="shared" si="156"/>
        <v>3025.26</v>
      </c>
      <c r="M237" s="366">
        <f>SUM(M233:M236)</f>
        <v>3025.26</v>
      </c>
      <c r="N237" s="364">
        <f>SUM(N231:N236)</f>
        <v>3000</v>
      </c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1"/>
      <c r="Z237" s="131"/>
      <c r="AA237" s="131"/>
      <c r="AB237" s="131"/>
      <c r="AC237" s="131"/>
      <c r="AD237" s="131"/>
      <c r="AE237" s="131"/>
    </row>
    <row r="238" spans="1:31" ht="15.75" customHeight="1" x14ac:dyDescent="0.25">
      <c r="A238" s="122" t="s">
        <v>374</v>
      </c>
      <c r="B238" s="125"/>
      <c r="C238" s="125"/>
      <c r="D238" s="125"/>
      <c r="E238" s="125"/>
      <c r="F238" s="124"/>
      <c r="G238" s="125"/>
      <c r="H238" s="124"/>
      <c r="I238" s="124"/>
      <c r="J238" s="126"/>
      <c r="K238" s="127"/>
      <c r="L238" s="128"/>
      <c r="M238" s="129"/>
      <c r="N238" s="130">
        <v>0</v>
      </c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/>
      <c r="AA238" s="131"/>
      <c r="AB238" s="131"/>
      <c r="AC238" s="131"/>
      <c r="AD238" s="131"/>
      <c r="AE238" s="131"/>
    </row>
    <row r="239" spans="1:31" ht="15.75" customHeight="1" x14ac:dyDescent="0.25">
      <c r="A239" s="217" t="s">
        <v>375</v>
      </c>
      <c r="B239" s="218">
        <f t="shared" ref="B239:H239" si="157">SUM(B223:B225)+B230+SUM(B237:B238)</f>
        <v>992</v>
      </c>
      <c r="C239" s="218">
        <f t="shared" si="157"/>
        <v>1009</v>
      </c>
      <c r="D239" s="218">
        <f t="shared" si="157"/>
        <v>509</v>
      </c>
      <c r="E239" s="218">
        <f t="shared" si="157"/>
        <v>789.81</v>
      </c>
      <c r="F239" s="218">
        <f t="shared" si="157"/>
        <v>1158.8</v>
      </c>
      <c r="G239" s="218">
        <f t="shared" si="157"/>
        <v>1559.99</v>
      </c>
      <c r="H239" s="218">
        <f t="shared" si="157"/>
        <v>1559.99</v>
      </c>
      <c r="I239" s="218">
        <f>I224+I230+I237</f>
        <v>4035</v>
      </c>
      <c r="J239" s="219"/>
      <c r="K239" s="370">
        <f t="shared" ref="K239:L239" si="158">SUM(K223:K225)+K230+SUM(K237:K238)</f>
        <v>7414.52</v>
      </c>
      <c r="L239" s="371">
        <f t="shared" si="158"/>
        <v>4011.9100000000003</v>
      </c>
      <c r="M239" s="372">
        <f>SUM(M237,M230,M224)</f>
        <v>4436.91</v>
      </c>
      <c r="N239" s="370">
        <f>SUM(N223:N225)+N230+SUM(N237:N238)</f>
        <v>4412</v>
      </c>
      <c r="O239" s="224"/>
      <c r="P239" s="224"/>
      <c r="Q239" s="224"/>
      <c r="R239" s="224"/>
      <c r="S239" s="224"/>
      <c r="T239" s="224"/>
      <c r="U239" s="224"/>
      <c r="V239" s="224"/>
      <c r="W239" s="224"/>
      <c r="X239" s="224"/>
      <c r="Y239" s="224"/>
      <c r="Z239" s="224"/>
      <c r="AA239" s="224"/>
      <c r="AB239" s="224"/>
      <c r="AC239" s="224"/>
      <c r="AD239" s="224"/>
      <c r="AE239" s="224"/>
    </row>
    <row r="240" spans="1:31" ht="15.75" customHeight="1" x14ac:dyDescent="0.25">
      <c r="A240" s="20"/>
      <c r="B240" s="47"/>
      <c r="C240" s="21"/>
      <c r="D240" s="21"/>
      <c r="E240" s="21"/>
      <c r="F240" s="22"/>
      <c r="G240" s="21"/>
      <c r="H240" s="22"/>
      <c r="I240" s="22"/>
      <c r="J240" s="23"/>
      <c r="K240" s="24"/>
      <c r="L240" s="25"/>
      <c r="M240" s="26"/>
      <c r="N240" s="2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5.75" customHeight="1" x14ac:dyDescent="0.25">
      <c r="A241" s="122" t="s">
        <v>376</v>
      </c>
      <c r="B241" s="123">
        <f>29</f>
        <v>29</v>
      </c>
      <c r="C241" s="125"/>
      <c r="D241" s="125"/>
      <c r="E241" s="125"/>
      <c r="F241" s="124"/>
      <c r="G241" s="125"/>
      <c r="H241" s="124"/>
      <c r="I241" s="124"/>
      <c r="J241" s="126"/>
      <c r="K241" s="127"/>
      <c r="L241" s="128"/>
      <c r="M241" s="129"/>
      <c r="N241" s="130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131"/>
      <c r="AA241" s="131"/>
      <c r="AB241" s="131"/>
      <c r="AC241" s="131"/>
      <c r="AD241" s="131"/>
      <c r="AE241" s="131"/>
    </row>
    <row r="242" spans="1:31" ht="15.75" customHeight="1" x14ac:dyDescent="0.25">
      <c r="A242" s="122" t="s">
        <v>377</v>
      </c>
      <c r="B242" s="125"/>
      <c r="C242" s="125"/>
      <c r="D242" s="125"/>
      <c r="E242" s="125"/>
      <c r="F242" s="124"/>
      <c r="G242" s="125"/>
      <c r="H242" s="124"/>
      <c r="I242" s="124"/>
      <c r="J242" s="126"/>
      <c r="K242" s="127"/>
      <c r="L242" s="128"/>
      <c r="M242" s="129"/>
      <c r="N242" s="130">
        <v>0</v>
      </c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  <c r="AA242" s="131"/>
      <c r="AB242" s="131"/>
      <c r="AC242" s="131"/>
      <c r="AD242" s="131"/>
      <c r="AE242" s="131"/>
    </row>
    <row r="243" spans="1:31" ht="15.75" customHeight="1" x14ac:dyDescent="0.25">
      <c r="A243" s="122" t="s">
        <v>378</v>
      </c>
      <c r="B243" s="123">
        <f>43.74</f>
        <v>43.74</v>
      </c>
      <c r="C243" s="123">
        <f>155.88</f>
        <v>155.88</v>
      </c>
      <c r="D243" s="123">
        <f>50</f>
        <v>50</v>
      </c>
      <c r="E243" s="123">
        <f>53.19</f>
        <v>53.19</v>
      </c>
      <c r="F243" s="123">
        <f t="shared" ref="F243:G243" si="159">100</f>
        <v>100</v>
      </c>
      <c r="G243" s="123">
        <f t="shared" si="159"/>
        <v>100</v>
      </c>
      <c r="H243" s="124">
        <f t="shared" ref="H243:H244" si="160">G243</f>
        <v>100</v>
      </c>
      <c r="I243" s="124">
        <f>100</f>
        <v>100</v>
      </c>
      <c r="J243" s="126" t="s">
        <v>379</v>
      </c>
      <c r="K243" s="127">
        <f>(50*4)+(50*2)</f>
        <v>300</v>
      </c>
      <c r="L243" s="128">
        <v>70</v>
      </c>
      <c r="M243" s="129">
        <f>L243+50</f>
        <v>120</v>
      </c>
      <c r="N243" s="130">
        <f>(50*4)+(50*2)</f>
        <v>300</v>
      </c>
      <c r="O243" s="131" t="s">
        <v>380</v>
      </c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  <c r="AA243" s="131"/>
      <c r="AB243" s="131"/>
      <c r="AC243" s="131"/>
      <c r="AD243" s="131"/>
      <c r="AE243" s="131"/>
    </row>
    <row r="244" spans="1:31" ht="15.75" customHeight="1" x14ac:dyDescent="0.25">
      <c r="A244" s="46" t="s">
        <v>381</v>
      </c>
      <c r="B244" s="47">
        <f>392.23</f>
        <v>392.23</v>
      </c>
      <c r="C244" s="47">
        <f>610.17</f>
        <v>610.16999999999996</v>
      </c>
      <c r="D244" s="47">
        <f>759.66</f>
        <v>759.66</v>
      </c>
      <c r="E244" s="47">
        <f>3831.51</f>
        <v>3831.51</v>
      </c>
      <c r="F244" s="47">
        <f>244.48</f>
        <v>244.48</v>
      </c>
      <c r="G244" s="21">
        <f>396.36</f>
        <v>396.36</v>
      </c>
      <c r="H244" s="22">
        <f t="shared" si="160"/>
        <v>396.36</v>
      </c>
      <c r="I244" s="22"/>
      <c r="J244" s="288"/>
      <c r="K244" s="24"/>
      <c r="L244" s="25"/>
      <c r="M244" s="26"/>
      <c r="N244" s="24"/>
      <c r="O244" s="27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5.75" customHeight="1" x14ac:dyDescent="0.25">
      <c r="A245" s="46" t="s">
        <v>382</v>
      </c>
      <c r="B245" s="21"/>
      <c r="C245" s="21"/>
      <c r="D245" s="21"/>
      <c r="E245" s="21"/>
      <c r="F245" s="47"/>
      <c r="G245" s="47"/>
      <c r="H245" s="22"/>
      <c r="I245" s="22">
        <f>500</f>
        <v>500</v>
      </c>
      <c r="J245" s="23"/>
      <c r="K245" s="24"/>
      <c r="L245" s="25"/>
      <c r="M245" s="26"/>
      <c r="N245" s="2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5.75" customHeight="1" x14ac:dyDescent="0.25">
      <c r="A246" s="46" t="s">
        <v>383</v>
      </c>
      <c r="B246" s="21"/>
      <c r="C246" s="21"/>
      <c r="D246" s="21"/>
      <c r="E246" s="21"/>
      <c r="F246" s="47"/>
      <c r="G246" s="47"/>
      <c r="H246" s="22"/>
      <c r="I246" s="22">
        <f>600</f>
        <v>600</v>
      </c>
      <c r="J246" s="23" t="s">
        <v>384</v>
      </c>
      <c r="K246" s="187">
        <v>500</v>
      </c>
      <c r="L246" s="289"/>
      <c r="M246" s="189"/>
      <c r="N246" s="187">
        <v>500</v>
      </c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5.75" customHeight="1" x14ac:dyDescent="0.25">
      <c r="A247" s="46" t="s">
        <v>385</v>
      </c>
      <c r="B247" s="21"/>
      <c r="C247" s="21"/>
      <c r="D247" s="21"/>
      <c r="E247" s="21"/>
      <c r="F247" s="47"/>
      <c r="G247" s="47"/>
      <c r="H247" s="22"/>
      <c r="I247" s="22">
        <f>500</f>
        <v>500</v>
      </c>
      <c r="J247" s="23" t="s">
        <v>386</v>
      </c>
      <c r="K247" s="24">
        <v>500</v>
      </c>
      <c r="L247" s="25">
        <v>235.9</v>
      </c>
      <c r="M247" s="26">
        <f t="shared" ref="M247:M249" si="161">L247</f>
        <v>235.9</v>
      </c>
      <c r="N247" s="71">
        <v>250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5.75" customHeight="1" x14ac:dyDescent="0.25">
      <c r="A248" s="46" t="s">
        <v>387</v>
      </c>
      <c r="B248" s="21"/>
      <c r="C248" s="21"/>
      <c r="D248" s="21"/>
      <c r="E248" s="21"/>
      <c r="F248" s="47">
        <f t="shared" ref="F248:G248" si="162">30.2</f>
        <v>30.2</v>
      </c>
      <c r="G248" s="47">
        <f t="shared" si="162"/>
        <v>30.2</v>
      </c>
      <c r="H248" s="22">
        <f>G248</f>
        <v>30.2</v>
      </c>
      <c r="I248" s="22">
        <f>30</f>
        <v>30</v>
      </c>
      <c r="J248" s="23" t="s">
        <v>388</v>
      </c>
      <c r="K248" s="71">
        <v>1500</v>
      </c>
      <c r="L248" s="25"/>
      <c r="M248" s="26">
        <f t="shared" si="161"/>
        <v>0</v>
      </c>
      <c r="N248" s="24"/>
      <c r="O248" s="1" t="s">
        <v>389</v>
      </c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5.75" customHeight="1" x14ac:dyDescent="0.25">
      <c r="A249" s="251" t="s">
        <v>390</v>
      </c>
      <c r="B249" s="21"/>
      <c r="C249" s="21"/>
      <c r="D249" s="21"/>
      <c r="E249" s="21"/>
      <c r="F249" s="47"/>
      <c r="G249" s="47"/>
      <c r="H249" s="22"/>
      <c r="I249" s="22"/>
      <c r="J249" s="23"/>
      <c r="K249" s="381"/>
      <c r="L249" s="374">
        <v>642.48</v>
      </c>
      <c r="M249" s="383">
        <f t="shared" si="161"/>
        <v>642.48</v>
      </c>
      <c r="N249" s="381">
        <v>300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5.75" customHeight="1" x14ac:dyDescent="0.25">
      <c r="A250" s="122" t="s">
        <v>391</v>
      </c>
      <c r="B250" s="178">
        <f t="shared" ref="B250:H250" si="163">SUM(B244:B248)</f>
        <v>392.23</v>
      </c>
      <c r="C250" s="178">
        <f t="shared" si="163"/>
        <v>610.16999999999996</v>
      </c>
      <c r="D250" s="178">
        <f t="shared" si="163"/>
        <v>759.66</v>
      </c>
      <c r="E250" s="178">
        <f t="shared" si="163"/>
        <v>3831.51</v>
      </c>
      <c r="F250" s="178">
        <f t="shared" si="163"/>
        <v>274.68</v>
      </c>
      <c r="G250" s="178">
        <f t="shared" si="163"/>
        <v>426.56</v>
      </c>
      <c r="H250" s="178">
        <f t="shared" si="163"/>
        <v>426.56</v>
      </c>
      <c r="I250" s="178">
        <f>SUM(I245:I248)</f>
        <v>1630</v>
      </c>
      <c r="J250" s="179"/>
      <c r="K250" s="364">
        <f>SUM(K244:K248)</f>
        <v>2500</v>
      </c>
      <c r="L250" s="365">
        <f>SUM(L244:L249)</f>
        <v>878.38</v>
      </c>
      <c r="M250" s="366">
        <f>SUM(M245:M249)</f>
        <v>878.38</v>
      </c>
      <c r="N250" s="364">
        <f>SUM(N244:N249)</f>
        <v>1050</v>
      </c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  <c r="AA250" s="131"/>
      <c r="AB250" s="131"/>
      <c r="AC250" s="131"/>
      <c r="AD250" s="131"/>
      <c r="AE250" s="131"/>
    </row>
    <row r="251" spans="1:31" ht="15.75" customHeight="1" x14ac:dyDescent="0.25">
      <c r="A251" s="276" t="s">
        <v>392</v>
      </c>
      <c r="B251" s="125"/>
      <c r="C251" s="125"/>
      <c r="D251" s="125"/>
      <c r="E251" s="125"/>
      <c r="F251" s="124"/>
      <c r="G251" s="125"/>
      <c r="H251" s="124"/>
      <c r="I251" s="124"/>
      <c r="J251" s="126"/>
      <c r="K251" s="127"/>
      <c r="L251" s="128"/>
      <c r="M251" s="129"/>
      <c r="N251" s="130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131"/>
      <c r="AA251" s="131"/>
      <c r="AB251" s="131"/>
      <c r="AC251" s="131"/>
      <c r="AD251" s="131"/>
      <c r="AE251" s="131"/>
    </row>
    <row r="252" spans="1:31" ht="15.75" customHeight="1" x14ac:dyDescent="0.25">
      <c r="A252" s="122" t="s">
        <v>393</v>
      </c>
      <c r="B252" s="125"/>
      <c r="C252" s="123">
        <f t="shared" ref="C252:D252" si="164">120</f>
        <v>120</v>
      </c>
      <c r="D252" s="123">
        <f t="shared" si="164"/>
        <v>120</v>
      </c>
      <c r="E252" s="125"/>
      <c r="F252" s="123">
        <f>240</f>
        <v>240</v>
      </c>
      <c r="G252" s="123">
        <f>963.18</f>
        <v>963.18</v>
      </c>
      <c r="H252" s="124">
        <f t="shared" ref="H252:H253" si="165">G252</f>
        <v>963.18</v>
      </c>
      <c r="I252" s="124">
        <f>1700</f>
        <v>1700</v>
      </c>
      <c r="J252" s="126" t="s">
        <v>394</v>
      </c>
      <c r="K252" s="127">
        <v>216</v>
      </c>
      <c r="L252" s="132">
        <v>348.96</v>
      </c>
      <c r="M252" s="129">
        <f>L252</f>
        <v>348.96</v>
      </c>
      <c r="N252" s="130">
        <v>229</v>
      </c>
      <c r="O252" s="290" t="s">
        <v>395</v>
      </c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  <c r="AA252" s="131"/>
      <c r="AB252" s="131"/>
      <c r="AC252" s="131"/>
      <c r="AD252" s="131"/>
      <c r="AE252" s="131"/>
    </row>
    <row r="253" spans="1:31" ht="15.75" customHeight="1" x14ac:dyDescent="0.25">
      <c r="A253" s="46" t="s">
        <v>396</v>
      </c>
      <c r="B253" s="21"/>
      <c r="C253" s="21"/>
      <c r="D253" s="21"/>
      <c r="E253" s="21"/>
      <c r="F253" s="47">
        <f>81.11</f>
        <v>81.11</v>
      </c>
      <c r="G253" s="47">
        <f>314.31</f>
        <v>314.31</v>
      </c>
      <c r="H253" s="22">
        <f t="shared" si="165"/>
        <v>314.31</v>
      </c>
      <c r="I253" s="22"/>
      <c r="J253" s="23" t="s">
        <v>33</v>
      </c>
      <c r="K253" s="24">
        <f>(100*3)+1000</f>
        <v>1300</v>
      </c>
      <c r="L253" s="51">
        <v>1130.8800000000001</v>
      </c>
      <c r="M253" s="26">
        <f>L253/11*12</f>
        <v>1233.6872727272728</v>
      </c>
      <c r="N253" s="71">
        <v>1100</v>
      </c>
      <c r="O253" s="1" t="s">
        <v>397</v>
      </c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5.75" hidden="1" customHeight="1" x14ac:dyDescent="0.25">
      <c r="A254" s="46" t="s">
        <v>398</v>
      </c>
      <c r="B254" s="47">
        <f>576.6</f>
        <v>576.6</v>
      </c>
      <c r="C254" s="47">
        <f>330.66</f>
        <v>330.66</v>
      </c>
      <c r="D254" s="47">
        <f>194.01</f>
        <v>194.01</v>
      </c>
      <c r="E254" s="47">
        <f>460.17</f>
        <v>460.17</v>
      </c>
      <c r="F254" s="47">
        <f>245.54</f>
        <v>245.54</v>
      </c>
      <c r="G254" s="21"/>
      <c r="H254" s="22"/>
      <c r="I254" s="59"/>
      <c r="J254" s="60"/>
      <c r="K254" s="61"/>
      <c r="L254" s="62"/>
      <c r="M254" s="63"/>
      <c r="N254" s="6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5.75" customHeight="1" x14ac:dyDescent="0.25">
      <c r="A255" s="122" t="s">
        <v>399</v>
      </c>
      <c r="B255" s="178">
        <f t="shared" ref="B255:H255" si="166">SUM(B253:B254)</f>
        <v>576.6</v>
      </c>
      <c r="C255" s="178">
        <f t="shared" si="166"/>
        <v>330.66</v>
      </c>
      <c r="D255" s="178">
        <f t="shared" si="166"/>
        <v>194.01</v>
      </c>
      <c r="E255" s="178">
        <f t="shared" si="166"/>
        <v>460.17</v>
      </c>
      <c r="F255" s="178">
        <f t="shared" si="166"/>
        <v>326.64999999999998</v>
      </c>
      <c r="G255" s="178">
        <f t="shared" si="166"/>
        <v>314.31</v>
      </c>
      <c r="H255" s="178">
        <f t="shared" si="166"/>
        <v>314.31</v>
      </c>
      <c r="I255" s="178">
        <f>350</f>
        <v>350</v>
      </c>
      <c r="J255" s="179"/>
      <c r="K255" s="364">
        <f t="shared" ref="K255:L255" si="167">SUM(K253:K254)</f>
        <v>1300</v>
      </c>
      <c r="L255" s="365">
        <f t="shared" si="167"/>
        <v>1130.8800000000001</v>
      </c>
      <c r="M255" s="366">
        <f>M253</f>
        <v>1233.6872727272728</v>
      </c>
      <c r="N255" s="364">
        <f>SUM(N253:N254)</f>
        <v>1100</v>
      </c>
      <c r="O255" s="131"/>
      <c r="P255" s="131"/>
      <c r="Q255" s="131"/>
      <c r="R255" s="131"/>
      <c r="S255" s="131"/>
      <c r="T255" s="131"/>
      <c r="U255" s="131"/>
      <c r="V255" s="131"/>
      <c r="W255" s="131"/>
      <c r="X255" s="131"/>
      <c r="Y255" s="131"/>
      <c r="Z255" s="131"/>
      <c r="AA255" s="131"/>
      <c r="AB255" s="131"/>
      <c r="AC255" s="131"/>
      <c r="AD255" s="131"/>
      <c r="AE255" s="131"/>
    </row>
    <row r="256" spans="1:31" ht="15.75" customHeight="1" x14ac:dyDescent="0.25">
      <c r="A256" s="122" t="s">
        <v>400</v>
      </c>
      <c r="B256" s="125"/>
      <c r="C256" s="123">
        <f>14.96</f>
        <v>14.96</v>
      </c>
      <c r="D256" s="125"/>
      <c r="E256" s="123">
        <f t="shared" ref="E256:F256" si="168">65</f>
        <v>65</v>
      </c>
      <c r="F256" s="123">
        <f t="shared" si="168"/>
        <v>65</v>
      </c>
      <c r="G256" s="125"/>
      <c r="H256" s="124"/>
      <c r="I256" s="124"/>
      <c r="J256" s="126" t="s">
        <v>394</v>
      </c>
      <c r="K256" s="127">
        <v>100</v>
      </c>
      <c r="L256" s="128"/>
      <c r="M256" s="129"/>
      <c r="N256" s="225">
        <v>100</v>
      </c>
      <c r="O256" s="131" t="s">
        <v>401</v>
      </c>
      <c r="P256" s="131"/>
      <c r="Q256" s="131"/>
      <c r="R256" s="131"/>
      <c r="S256" s="131"/>
      <c r="T256" s="131"/>
      <c r="U256" s="131"/>
      <c r="V256" s="131"/>
      <c r="W256" s="131"/>
      <c r="X256" s="131"/>
      <c r="Y256" s="131"/>
      <c r="Z256" s="131"/>
      <c r="AA256" s="131"/>
      <c r="AB256" s="131"/>
      <c r="AC256" s="131"/>
      <c r="AD256" s="131"/>
      <c r="AE256" s="131"/>
    </row>
    <row r="257" spans="1:31" ht="15.75" hidden="1" customHeight="1" x14ac:dyDescent="0.25">
      <c r="A257" s="122" t="s">
        <v>402</v>
      </c>
      <c r="B257" s="125"/>
      <c r="C257" s="125"/>
      <c r="D257" s="125"/>
      <c r="E257" s="123">
        <f>354</f>
        <v>354</v>
      </c>
      <c r="F257" s="123">
        <f>295</f>
        <v>295</v>
      </c>
      <c r="G257" s="125"/>
      <c r="H257" s="124"/>
      <c r="I257" s="59"/>
      <c r="J257" s="60"/>
      <c r="K257" s="61"/>
      <c r="L257" s="62"/>
      <c r="M257" s="63"/>
      <c r="N257" s="64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  <c r="AA257" s="131"/>
      <c r="AB257" s="131"/>
      <c r="AC257" s="131"/>
      <c r="AD257" s="131"/>
      <c r="AE257" s="131"/>
    </row>
    <row r="258" spans="1:31" ht="15.75" hidden="1" customHeight="1" x14ac:dyDescent="0.25">
      <c r="A258" s="46" t="s">
        <v>403</v>
      </c>
      <c r="B258" s="21"/>
      <c r="C258" s="21"/>
      <c r="D258" s="21"/>
      <c r="E258" s="47">
        <f>101.71</f>
        <v>101.71</v>
      </c>
      <c r="F258" s="22"/>
      <c r="G258" s="21"/>
      <c r="H258" s="22"/>
      <c r="I258" s="59"/>
      <c r="J258" s="60"/>
      <c r="K258" s="61"/>
      <c r="L258" s="62"/>
      <c r="M258" s="63"/>
      <c r="N258" s="64"/>
      <c r="O258" s="266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5.75" hidden="1" customHeight="1" x14ac:dyDescent="0.25">
      <c r="A259" s="46" t="s">
        <v>404</v>
      </c>
      <c r="B259" s="21"/>
      <c r="C259" s="21"/>
      <c r="D259" s="21"/>
      <c r="E259" s="47">
        <f>44.92</f>
        <v>44.92</v>
      </c>
      <c r="F259" s="22"/>
      <c r="G259" s="21"/>
      <c r="H259" s="22"/>
      <c r="I259" s="59"/>
      <c r="J259" s="60"/>
      <c r="K259" s="61"/>
      <c r="L259" s="62"/>
      <c r="M259" s="63"/>
      <c r="N259" s="64"/>
      <c r="O259" s="266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5.75" hidden="1" customHeight="1" x14ac:dyDescent="0.25">
      <c r="A260" s="46" t="s">
        <v>405</v>
      </c>
      <c r="B260" s="21"/>
      <c r="C260" s="21"/>
      <c r="D260" s="21"/>
      <c r="E260" s="47">
        <f>1012.01</f>
        <v>1012.01</v>
      </c>
      <c r="F260" s="47">
        <f>1940</f>
        <v>1940</v>
      </c>
      <c r="G260" s="47"/>
      <c r="H260" s="22">
        <f>(G260/9)*12</f>
        <v>0</v>
      </c>
      <c r="I260" s="59"/>
      <c r="J260" s="60"/>
      <c r="K260" s="61"/>
      <c r="L260" s="62"/>
      <c r="M260" s="63"/>
      <c r="N260" s="64"/>
      <c r="O260" s="266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5.75" hidden="1" customHeight="1" x14ac:dyDescent="0.25">
      <c r="A261" s="46" t="s">
        <v>406</v>
      </c>
      <c r="B261" s="21"/>
      <c r="C261" s="21"/>
      <c r="D261" s="21"/>
      <c r="E261" s="47">
        <f>1186.76</f>
        <v>1186.76</v>
      </c>
      <c r="F261" s="47">
        <f>987.16</f>
        <v>987.16</v>
      </c>
      <c r="G261" s="21"/>
      <c r="H261" s="22"/>
      <c r="I261" s="59"/>
      <c r="J261" s="60"/>
      <c r="K261" s="61"/>
      <c r="L261" s="62"/>
      <c r="M261" s="63"/>
      <c r="N261" s="64"/>
      <c r="O261" s="266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5.75" hidden="1" customHeight="1" x14ac:dyDescent="0.25">
      <c r="A262" s="122" t="s">
        <v>407</v>
      </c>
      <c r="B262" s="178">
        <f t="shared" ref="B262:H262" si="169">SUM(B258:B261)</f>
        <v>0</v>
      </c>
      <c r="C262" s="178">
        <f t="shared" si="169"/>
        <v>0</v>
      </c>
      <c r="D262" s="178">
        <f t="shared" si="169"/>
        <v>0</v>
      </c>
      <c r="E262" s="178">
        <f t="shared" si="169"/>
        <v>2345.3999999999996</v>
      </c>
      <c r="F262" s="178">
        <f t="shared" si="169"/>
        <v>2927.16</v>
      </c>
      <c r="G262" s="178">
        <f t="shared" si="169"/>
        <v>0</v>
      </c>
      <c r="H262" s="178">
        <f t="shared" si="169"/>
        <v>0</v>
      </c>
      <c r="I262" s="178"/>
      <c r="J262" s="179"/>
      <c r="K262" s="180">
        <f>SUM(K258:K261)</f>
        <v>0</v>
      </c>
      <c r="L262" s="248"/>
      <c r="M262" s="181"/>
      <c r="N262" s="182"/>
      <c r="O262" s="291"/>
      <c r="P262" s="131"/>
      <c r="Q262" s="131"/>
      <c r="R262" s="131"/>
      <c r="S262" s="131"/>
      <c r="T262" s="131"/>
      <c r="U262" s="131"/>
      <c r="V262" s="131"/>
      <c r="W262" s="131"/>
      <c r="X262" s="131"/>
      <c r="Y262" s="131"/>
      <c r="Z262" s="131"/>
      <c r="AA262" s="131"/>
      <c r="AB262" s="131"/>
      <c r="AC262" s="131"/>
      <c r="AD262" s="131"/>
      <c r="AE262" s="131"/>
    </row>
    <row r="263" spans="1:31" ht="15.75" customHeight="1" x14ac:dyDescent="0.25">
      <c r="A263" s="122" t="s">
        <v>408</v>
      </c>
      <c r="B263" s="125"/>
      <c r="C263" s="125"/>
      <c r="D263" s="123">
        <f>860</f>
        <v>860</v>
      </c>
      <c r="E263" s="125"/>
      <c r="F263" s="123">
        <f>2850.24</f>
        <v>2850.24</v>
      </c>
      <c r="G263" s="123">
        <v>-233.15</v>
      </c>
      <c r="H263" s="124">
        <f>(G263/9)*12</f>
        <v>-310.86666666666667</v>
      </c>
      <c r="I263" s="124"/>
      <c r="J263" s="126"/>
      <c r="K263" s="127"/>
      <c r="L263" s="128"/>
      <c r="M263" s="129"/>
      <c r="N263" s="130"/>
      <c r="O263" s="291"/>
      <c r="P263" s="131"/>
      <c r="Q263" s="131"/>
      <c r="R263" s="131"/>
      <c r="S263" s="131"/>
      <c r="T263" s="131"/>
      <c r="U263" s="131"/>
      <c r="V263" s="131"/>
      <c r="W263" s="131"/>
      <c r="X263" s="131"/>
      <c r="Y263" s="131"/>
      <c r="Z263" s="131"/>
      <c r="AA263" s="131"/>
      <c r="AB263" s="131"/>
      <c r="AC263" s="131"/>
      <c r="AD263" s="131"/>
      <c r="AE263" s="131"/>
    </row>
    <row r="264" spans="1:31" ht="15.75" customHeight="1" x14ac:dyDescent="0.25">
      <c r="A264" s="217" t="s">
        <v>409</v>
      </c>
      <c r="B264" s="218">
        <f t="shared" ref="B264:F264" si="170">SUM(B241:B243)+SUM(B250:B252)+SUM(B255:B257)+SUM(B262:B263)</f>
        <v>1041.5700000000002</v>
      </c>
      <c r="C264" s="218">
        <f t="shared" si="170"/>
        <v>1231.67</v>
      </c>
      <c r="D264" s="218">
        <f t="shared" si="170"/>
        <v>1983.67</v>
      </c>
      <c r="E264" s="218">
        <f t="shared" si="170"/>
        <v>7109.27</v>
      </c>
      <c r="F264" s="218">
        <f t="shared" si="170"/>
        <v>7078.73</v>
      </c>
      <c r="G264" s="218">
        <f>SUM(G241:G243)+SUM(G250:G252)+G255</f>
        <v>1804.05</v>
      </c>
      <c r="H264" s="218">
        <f>SUM(H241:H243)+SUM(H250:H252)+SUM(H255:H257)</f>
        <v>1804.05</v>
      </c>
      <c r="I264" s="218">
        <f>I243+SUM(I250:I255)</f>
        <v>3780</v>
      </c>
      <c r="J264" s="219"/>
      <c r="K264" s="370">
        <f t="shared" ref="K264:L264" si="171">SUM(K241:K243)+SUM(K250:K252)+SUM(K255:K257)+SUM(K262:K263)</f>
        <v>4416</v>
      </c>
      <c r="L264" s="371">
        <f t="shared" si="171"/>
        <v>2428.2200000000003</v>
      </c>
      <c r="M264" s="372">
        <f>SUM(M255:M256,M250:M252,M243)</f>
        <v>2581.0272727272727</v>
      </c>
      <c r="N264" s="370">
        <f>SUM(N241:N243)+SUM(N250:N252)+SUM(N255:N257)+SUM(N262:N263)</f>
        <v>2779</v>
      </c>
      <c r="O264" s="224"/>
      <c r="P264" s="224"/>
      <c r="Q264" s="224"/>
      <c r="R264" s="224"/>
      <c r="S264" s="224"/>
      <c r="T264" s="224"/>
      <c r="U264" s="224"/>
      <c r="V264" s="224"/>
      <c r="W264" s="224"/>
      <c r="X264" s="224"/>
      <c r="Y264" s="224"/>
      <c r="Z264" s="224"/>
      <c r="AA264" s="224"/>
      <c r="AB264" s="224"/>
      <c r="AC264" s="224"/>
      <c r="AD264" s="224"/>
      <c r="AE264" s="224"/>
    </row>
    <row r="265" spans="1:31" ht="15.75" customHeight="1" x14ac:dyDescent="0.25">
      <c r="A265" s="20"/>
      <c r="B265" s="47"/>
      <c r="C265" s="21"/>
      <c r="D265" s="21"/>
      <c r="E265" s="21"/>
      <c r="F265" s="47"/>
      <c r="G265" s="47"/>
      <c r="H265" s="22"/>
      <c r="I265" s="22"/>
      <c r="J265" s="23"/>
      <c r="K265" s="24"/>
      <c r="L265" s="25"/>
      <c r="M265" s="26"/>
      <c r="N265" s="2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5.75" customHeight="1" x14ac:dyDescent="0.25">
      <c r="A266" s="122" t="s">
        <v>410</v>
      </c>
      <c r="B266" s="123">
        <f>304.23</f>
        <v>304.23</v>
      </c>
      <c r="C266" s="125"/>
      <c r="D266" s="125"/>
      <c r="E266" s="125"/>
      <c r="F266" s="123">
        <f t="shared" ref="F266:G266" si="172">57.57</f>
        <v>57.57</v>
      </c>
      <c r="G266" s="123">
        <f t="shared" si="172"/>
        <v>57.57</v>
      </c>
      <c r="H266" s="124">
        <f>G266</f>
        <v>57.57</v>
      </c>
      <c r="I266" s="124"/>
      <c r="J266" s="126"/>
      <c r="K266" s="127"/>
      <c r="L266" s="128"/>
      <c r="M266" s="129"/>
      <c r="N266" s="130"/>
      <c r="O266" s="131"/>
      <c r="P266" s="131"/>
      <c r="Q266" s="131"/>
      <c r="R266" s="131"/>
      <c r="S266" s="131"/>
      <c r="T266" s="131"/>
      <c r="U266" s="131"/>
      <c r="V266" s="131"/>
      <c r="W266" s="131"/>
      <c r="X266" s="131"/>
      <c r="Y266" s="131"/>
      <c r="Z266" s="131"/>
      <c r="AA266" s="131"/>
      <c r="AB266" s="131"/>
      <c r="AC266" s="131"/>
      <c r="AD266" s="131"/>
      <c r="AE266" s="131"/>
    </row>
    <row r="267" spans="1:31" ht="15.75" hidden="1" customHeight="1" x14ac:dyDescent="0.25">
      <c r="A267" s="122" t="s">
        <v>411</v>
      </c>
      <c r="B267" s="125"/>
      <c r="C267" s="123">
        <f>323.89</f>
        <v>323.89</v>
      </c>
      <c r="D267" s="123">
        <f>193.69</f>
        <v>193.69</v>
      </c>
      <c r="E267" s="125"/>
      <c r="F267" s="124"/>
      <c r="G267" s="125"/>
      <c r="H267" s="124"/>
      <c r="I267" s="22"/>
      <c r="J267" s="60"/>
      <c r="K267" s="61"/>
      <c r="L267" s="62"/>
      <c r="M267" s="63"/>
      <c r="N267" s="64"/>
      <c r="O267" s="131"/>
      <c r="P267" s="131"/>
      <c r="Q267" s="131"/>
      <c r="R267" s="131"/>
      <c r="S267" s="131"/>
      <c r="T267" s="131"/>
      <c r="U267" s="131"/>
      <c r="V267" s="131"/>
      <c r="W267" s="131"/>
      <c r="X267" s="131"/>
      <c r="Y267" s="131"/>
      <c r="Z267" s="131"/>
      <c r="AA267" s="131"/>
      <c r="AB267" s="131"/>
      <c r="AC267" s="131"/>
      <c r="AD267" s="131"/>
      <c r="AE267" s="131"/>
    </row>
    <row r="268" spans="1:31" ht="15.75" customHeight="1" x14ac:dyDescent="0.25">
      <c r="A268" s="46" t="s">
        <v>412</v>
      </c>
      <c r="B268" s="47">
        <f>127.55</f>
        <v>127.55</v>
      </c>
      <c r="C268" s="21"/>
      <c r="D268" s="21"/>
      <c r="E268" s="21"/>
      <c r="F268" s="22"/>
      <c r="G268" s="21"/>
      <c r="H268" s="22"/>
      <c r="I268" s="22"/>
      <c r="J268" s="23"/>
      <c r="K268" s="24"/>
      <c r="L268" s="25"/>
      <c r="M268" s="26"/>
      <c r="N268" s="2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5.75" customHeight="1" x14ac:dyDescent="0.25">
      <c r="A269" s="46" t="s">
        <v>413</v>
      </c>
      <c r="B269" s="47">
        <f>8.98</f>
        <v>8.98</v>
      </c>
      <c r="C269" s="47">
        <f>79.06</f>
        <v>79.06</v>
      </c>
      <c r="D269" s="47">
        <f>108.06</f>
        <v>108.06</v>
      </c>
      <c r="E269" s="47">
        <f>35.5</f>
        <v>35.5</v>
      </c>
      <c r="F269" s="47">
        <f>103.1</f>
        <v>103.1</v>
      </c>
      <c r="G269" s="47">
        <f>104.1</f>
        <v>104.1</v>
      </c>
      <c r="H269" s="22">
        <f t="shared" ref="H269:H271" si="173">G269</f>
        <v>104.1</v>
      </c>
      <c r="I269" s="22"/>
      <c r="J269" s="23" t="s">
        <v>33</v>
      </c>
      <c r="K269" s="24">
        <v>200</v>
      </c>
      <c r="L269" s="51">
        <v>109.32</v>
      </c>
      <c r="M269" s="26">
        <f>L269/11*12</f>
        <v>119.25818181818181</v>
      </c>
      <c r="N269" s="24">
        <v>200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5.75" customHeight="1" x14ac:dyDescent="0.25">
      <c r="A270" s="46" t="s">
        <v>414</v>
      </c>
      <c r="B270" s="21"/>
      <c r="C270" s="47">
        <f>165.33</f>
        <v>165.33</v>
      </c>
      <c r="D270" s="21"/>
      <c r="E270" s="21"/>
      <c r="F270" s="22"/>
      <c r="G270" s="21">
        <f>10</f>
        <v>10</v>
      </c>
      <c r="H270" s="22">
        <f t="shared" si="173"/>
        <v>10</v>
      </c>
      <c r="I270" s="22"/>
      <c r="J270" s="23"/>
      <c r="K270" s="24"/>
      <c r="L270" s="25"/>
      <c r="M270" s="26"/>
      <c r="N270" s="2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5.75" customHeight="1" x14ac:dyDescent="0.25">
      <c r="A271" s="46" t="s">
        <v>415</v>
      </c>
      <c r="B271" s="21"/>
      <c r="C271" s="47">
        <f>271.01</f>
        <v>271.01</v>
      </c>
      <c r="D271" s="47">
        <f>586.22</f>
        <v>586.22</v>
      </c>
      <c r="E271" s="47">
        <f>1186.48</f>
        <v>1186.48</v>
      </c>
      <c r="F271" s="47">
        <f>220.48</f>
        <v>220.48</v>
      </c>
      <c r="G271" s="47">
        <f>213.29</f>
        <v>213.29</v>
      </c>
      <c r="H271" s="22">
        <f t="shared" si="173"/>
        <v>213.29</v>
      </c>
      <c r="I271" s="22">
        <f>300</f>
        <v>300</v>
      </c>
      <c r="J271" s="23"/>
      <c r="K271" s="24"/>
      <c r="L271" s="25"/>
      <c r="M271" s="26"/>
      <c r="N271" s="2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5.75" customHeight="1" x14ac:dyDescent="0.25">
      <c r="A272" s="46" t="s">
        <v>416</v>
      </c>
      <c r="B272" s="21"/>
      <c r="C272" s="47">
        <f>625</f>
        <v>625</v>
      </c>
      <c r="D272" s="47">
        <f>539.5</f>
        <v>539.5</v>
      </c>
      <c r="E272" s="47">
        <f>275</f>
        <v>275</v>
      </c>
      <c r="F272" s="22"/>
      <c r="G272" s="21"/>
      <c r="H272" s="22"/>
      <c r="I272" s="22"/>
      <c r="J272" s="23"/>
      <c r="K272" s="373"/>
      <c r="L272" s="384"/>
      <c r="M272" s="375"/>
      <c r="N272" s="373"/>
      <c r="O272" s="266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5.75" customHeight="1" x14ac:dyDescent="0.25">
      <c r="A273" s="122" t="s">
        <v>417</v>
      </c>
      <c r="B273" s="178">
        <f t="shared" ref="B273:H273" si="174">SUM(B268:B272)</f>
        <v>136.53</v>
      </c>
      <c r="C273" s="178">
        <f t="shared" si="174"/>
        <v>1140.4000000000001</v>
      </c>
      <c r="D273" s="178">
        <f t="shared" si="174"/>
        <v>1233.78</v>
      </c>
      <c r="E273" s="178">
        <f t="shared" si="174"/>
        <v>1496.98</v>
      </c>
      <c r="F273" s="178">
        <f t="shared" si="174"/>
        <v>323.58</v>
      </c>
      <c r="G273" s="178">
        <f t="shared" si="174"/>
        <v>327.39</v>
      </c>
      <c r="H273" s="178">
        <f t="shared" si="174"/>
        <v>327.39</v>
      </c>
      <c r="I273" s="178">
        <f>SUM(I269:I272)</f>
        <v>300</v>
      </c>
      <c r="J273" s="179"/>
      <c r="K273" s="364">
        <f t="shared" ref="K273:L273" si="175">SUM(K268:K272)</f>
        <v>200</v>
      </c>
      <c r="L273" s="365">
        <f t="shared" si="175"/>
        <v>109.32</v>
      </c>
      <c r="M273" s="366">
        <f>SUM(M269:M272)</f>
        <v>119.25818181818181</v>
      </c>
      <c r="N273" s="364">
        <f>SUM(N268:N272)</f>
        <v>200</v>
      </c>
      <c r="O273" s="131"/>
      <c r="P273" s="131"/>
      <c r="Q273" s="131"/>
      <c r="R273" s="131"/>
      <c r="S273" s="131"/>
      <c r="T273" s="131"/>
      <c r="U273" s="131"/>
      <c r="V273" s="131"/>
      <c r="W273" s="131"/>
      <c r="X273" s="131"/>
      <c r="Y273" s="131"/>
      <c r="Z273" s="131"/>
      <c r="AA273" s="131"/>
      <c r="AB273" s="131"/>
      <c r="AC273" s="131"/>
      <c r="AD273" s="131"/>
      <c r="AE273" s="131"/>
    </row>
    <row r="274" spans="1:31" ht="15.75" customHeight="1" x14ac:dyDescent="0.25">
      <c r="A274" s="46" t="s">
        <v>418</v>
      </c>
      <c r="B274" s="21"/>
      <c r="C274" s="21"/>
      <c r="D274" s="21"/>
      <c r="E274" s="21"/>
      <c r="F274" s="22"/>
      <c r="G274" s="21"/>
      <c r="H274" s="22"/>
      <c r="I274" s="22"/>
      <c r="J274" s="23"/>
      <c r="K274" s="24"/>
      <c r="L274" s="25"/>
      <c r="M274" s="26"/>
      <c r="N274" s="2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5.75" customHeight="1" x14ac:dyDescent="0.25">
      <c r="A275" s="46" t="s">
        <v>419</v>
      </c>
      <c r="B275" s="21"/>
      <c r="C275" s="21"/>
      <c r="D275" s="21"/>
      <c r="E275" s="47">
        <f>16.82</f>
        <v>16.82</v>
      </c>
      <c r="F275" s="22"/>
      <c r="G275" s="21"/>
      <c r="H275" s="22"/>
      <c r="I275" s="22">
        <f>250</f>
        <v>250</v>
      </c>
      <c r="J275" s="23"/>
      <c r="K275" s="24"/>
      <c r="L275" s="25"/>
      <c r="M275" s="26"/>
      <c r="N275" s="2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5.75" customHeight="1" x14ac:dyDescent="0.25">
      <c r="A276" s="46" t="s">
        <v>420</v>
      </c>
      <c r="B276" s="21"/>
      <c r="C276" s="47">
        <f>14.23</f>
        <v>14.23</v>
      </c>
      <c r="D276" s="21"/>
      <c r="E276" s="21"/>
      <c r="F276" s="47">
        <f t="shared" ref="F276:G276" si="176">18</f>
        <v>18</v>
      </c>
      <c r="G276" s="47">
        <f t="shared" si="176"/>
        <v>18</v>
      </c>
      <c r="H276" s="22">
        <f>G276</f>
        <v>18</v>
      </c>
      <c r="I276" s="22">
        <f>400</f>
        <v>400</v>
      </c>
      <c r="J276" s="23" t="s">
        <v>316</v>
      </c>
      <c r="K276" s="24">
        <v>200</v>
      </c>
      <c r="L276" s="51">
        <v>517.38</v>
      </c>
      <c r="M276" s="26">
        <f t="shared" ref="M276:M277" si="177">L276</f>
        <v>517.38</v>
      </c>
      <c r="N276" s="24">
        <v>200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5.75" customHeight="1" x14ac:dyDescent="0.25">
      <c r="A277" s="46" t="s">
        <v>421</v>
      </c>
      <c r="B277" s="21"/>
      <c r="C277" s="47">
        <f>229.5</f>
        <v>229.5</v>
      </c>
      <c r="D277" s="47">
        <f>2257.8</f>
        <v>2257.8000000000002</v>
      </c>
      <c r="E277" s="47">
        <f>17.17</f>
        <v>17.170000000000002</v>
      </c>
      <c r="F277" s="22"/>
      <c r="G277" s="21"/>
      <c r="H277" s="22"/>
      <c r="I277" s="22">
        <f>100</f>
        <v>100</v>
      </c>
      <c r="J277" s="23" t="s">
        <v>210</v>
      </c>
      <c r="K277" s="24">
        <v>100</v>
      </c>
      <c r="L277" s="51">
        <v>20</v>
      </c>
      <c r="M277" s="26">
        <f t="shared" si="177"/>
        <v>20</v>
      </c>
      <c r="N277" s="71">
        <v>3000</v>
      </c>
      <c r="O277" s="192" t="s">
        <v>422</v>
      </c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5.75" customHeight="1" x14ac:dyDescent="0.25">
      <c r="A278" s="46" t="s">
        <v>423</v>
      </c>
      <c r="B278" s="21"/>
      <c r="C278" s="21"/>
      <c r="D278" s="21"/>
      <c r="E278" s="21"/>
      <c r="F278" s="22"/>
      <c r="G278" s="21"/>
      <c r="H278" s="22"/>
      <c r="I278" s="22">
        <v>100</v>
      </c>
      <c r="J278" s="23"/>
      <c r="K278" s="24"/>
      <c r="L278" s="25"/>
      <c r="M278" s="26"/>
      <c r="N278" s="24"/>
      <c r="O278" s="192" t="s">
        <v>424</v>
      </c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5.75" customHeight="1" x14ac:dyDescent="0.25">
      <c r="A279" s="46" t="s">
        <v>425</v>
      </c>
      <c r="B279" s="21"/>
      <c r="C279" s="21"/>
      <c r="D279" s="21"/>
      <c r="E279" s="21"/>
      <c r="F279" s="22"/>
      <c r="G279" s="21"/>
      <c r="H279" s="22"/>
      <c r="I279" s="22">
        <f>150</f>
        <v>150</v>
      </c>
      <c r="J279" s="23" t="s">
        <v>426</v>
      </c>
      <c r="K279" s="24">
        <v>150</v>
      </c>
      <c r="L279" s="25"/>
      <c r="M279" s="26"/>
      <c r="N279" s="71">
        <v>100</v>
      </c>
      <c r="O279" s="1" t="s">
        <v>427</v>
      </c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5.75" customHeight="1" x14ac:dyDescent="0.25">
      <c r="A280" s="46" t="s">
        <v>428</v>
      </c>
      <c r="B280" s="21"/>
      <c r="C280" s="21"/>
      <c r="D280" s="21"/>
      <c r="E280" s="47">
        <f>11.93</f>
        <v>11.93</v>
      </c>
      <c r="F280" s="47">
        <f t="shared" ref="F280:G280" si="178">6.17</f>
        <v>6.17</v>
      </c>
      <c r="G280" s="47">
        <f t="shared" si="178"/>
        <v>6.17</v>
      </c>
      <c r="H280" s="22">
        <f>G280</f>
        <v>6.17</v>
      </c>
      <c r="I280" s="22">
        <f>50</f>
        <v>50</v>
      </c>
      <c r="J280" s="23" t="s">
        <v>28</v>
      </c>
      <c r="K280" s="24">
        <v>30</v>
      </c>
      <c r="L280" s="51">
        <v>5.69</v>
      </c>
      <c r="M280" s="26">
        <f>L280</f>
        <v>5.69</v>
      </c>
      <c r="N280" s="71">
        <v>30</v>
      </c>
      <c r="O280" s="1" t="s">
        <v>429</v>
      </c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5.75" hidden="1" customHeight="1" x14ac:dyDescent="0.25">
      <c r="A281" s="46" t="s">
        <v>430</v>
      </c>
      <c r="B281" s="21"/>
      <c r="C281" s="21"/>
      <c r="D281" s="47">
        <f>95.38</f>
        <v>95.38</v>
      </c>
      <c r="E281" s="21"/>
      <c r="F281" s="22"/>
      <c r="G281" s="21"/>
      <c r="H281" s="22"/>
      <c r="I281" s="22"/>
      <c r="J281" s="23"/>
      <c r="K281" s="24"/>
      <c r="L281" s="25"/>
      <c r="M281" s="26"/>
      <c r="N281" s="2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5.75" customHeight="1" x14ac:dyDescent="0.25">
      <c r="A282" s="46" t="s">
        <v>431</v>
      </c>
      <c r="B282" s="21"/>
      <c r="C282" s="21"/>
      <c r="D282" s="21"/>
      <c r="E282" s="21"/>
      <c r="F282" s="22"/>
      <c r="G282" s="21"/>
      <c r="H282" s="22"/>
      <c r="I282" s="22">
        <v>100</v>
      </c>
      <c r="J282" s="23" t="s">
        <v>239</v>
      </c>
      <c r="K282" s="24">
        <v>30</v>
      </c>
      <c r="L282" s="25">
        <v>50</v>
      </c>
      <c r="M282" s="26">
        <f>L282</f>
        <v>50</v>
      </c>
      <c r="N282" s="24">
        <v>50</v>
      </c>
      <c r="O282" s="1" t="s">
        <v>432</v>
      </c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5.75" customHeight="1" x14ac:dyDescent="0.25">
      <c r="A283" s="122" t="s">
        <v>433</v>
      </c>
      <c r="B283" s="178">
        <f t="shared" ref="B283:H283" si="179">SUM(B274:B282)</f>
        <v>0</v>
      </c>
      <c r="C283" s="178">
        <f t="shared" si="179"/>
        <v>243.73</v>
      </c>
      <c r="D283" s="178">
        <f t="shared" si="179"/>
        <v>2353.1800000000003</v>
      </c>
      <c r="E283" s="178">
        <f t="shared" si="179"/>
        <v>45.92</v>
      </c>
      <c r="F283" s="178">
        <f t="shared" si="179"/>
        <v>24.17</v>
      </c>
      <c r="G283" s="178">
        <f t="shared" si="179"/>
        <v>24.17</v>
      </c>
      <c r="H283" s="178">
        <f t="shared" si="179"/>
        <v>24.17</v>
      </c>
      <c r="I283" s="178">
        <f>SUM(I275:I282)</f>
        <v>1150</v>
      </c>
      <c r="J283" s="179"/>
      <c r="K283" s="364">
        <f t="shared" ref="K283:L283" si="180">SUM(K274:K282)</f>
        <v>510</v>
      </c>
      <c r="L283" s="365">
        <f t="shared" si="180"/>
        <v>593.07000000000005</v>
      </c>
      <c r="M283" s="366">
        <f>SUM(M275:M282)</f>
        <v>593.07000000000005</v>
      </c>
      <c r="N283" s="364">
        <f>SUM(N274:N282)</f>
        <v>3380</v>
      </c>
      <c r="O283" s="131"/>
      <c r="P283" s="131"/>
      <c r="Q283" s="131"/>
      <c r="R283" s="131"/>
      <c r="S283" s="131"/>
      <c r="T283" s="131"/>
      <c r="U283" s="131"/>
      <c r="V283" s="131"/>
      <c r="W283" s="131"/>
      <c r="X283" s="131"/>
      <c r="Y283" s="131"/>
      <c r="Z283" s="131"/>
      <c r="AA283" s="131"/>
      <c r="AB283" s="131"/>
      <c r="AC283" s="131"/>
      <c r="AD283" s="131"/>
      <c r="AE283" s="131"/>
    </row>
    <row r="284" spans="1:31" ht="15.75" customHeight="1" x14ac:dyDescent="0.25">
      <c r="A284" s="46" t="s">
        <v>434</v>
      </c>
      <c r="B284" s="21"/>
      <c r="C284" s="21"/>
      <c r="D284" s="21"/>
      <c r="E284" s="21"/>
      <c r="F284" s="22"/>
      <c r="G284" s="21"/>
      <c r="H284" s="22"/>
      <c r="I284" s="22"/>
      <c r="J284" s="23"/>
      <c r="K284" s="24"/>
      <c r="L284" s="25"/>
      <c r="M284" s="26"/>
      <c r="N284" s="2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5.75" customHeight="1" x14ac:dyDescent="0.25">
      <c r="A285" s="46" t="s">
        <v>435</v>
      </c>
      <c r="B285" s="21"/>
      <c r="C285" s="47">
        <f>630</f>
        <v>630</v>
      </c>
      <c r="D285" s="47">
        <f>214.77</f>
        <v>214.77</v>
      </c>
      <c r="E285" s="21"/>
      <c r="F285" s="22"/>
      <c r="G285" s="21"/>
      <c r="H285" s="22"/>
      <c r="I285" s="22"/>
      <c r="J285" s="23"/>
      <c r="K285" s="24"/>
      <c r="L285" s="25"/>
      <c r="M285" s="26"/>
      <c r="N285" s="2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5.75" customHeight="1" x14ac:dyDescent="0.25">
      <c r="A286" s="46" t="s">
        <v>436</v>
      </c>
      <c r="B286" s="21"/>
      <c r="C286" s="47">
        <f>293.76</f>
        <v>293.76</v>
      </c>
      <c r="D286" s="47">
        <f>336</f>
        <v>336</v>
      </c>
      <c r="E286" s="21"/>
      <c r="F286" s="22"/>
      <c r="G286" s="21">
        <f>354</f>
        <v>354</v>
      </c>
      <c r="H286" s="22">
        <f t="shared" ref="H286:H289" si="181">G286</f>
        <v>354</v>
      </c>
      <c r="I286" s="22">
        <f>100</f>
        <v>100</v>
      </c>
      <c r="J286" s="23" t="s">
        <v>437</v>
      </c>
      <c r="K286" s="24">
        <v>200</v>
      </c>
      <c r="L286" s="51">
        <v>162</v>
      </c>
      <c r="M286" s="26">
        <f>162</f>
        <v>162</v>
      </c>
      <c r="N286" s="24">
        <v>200</v>
      </c>
      <c r="O286" s="1" t="s">
        <v>438</v>
      </c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5.75" customHeight="1" x14ac:dyDescent="0.25">
      <c r="A287" s="46" t="s">
        <v>439</v>
      </c>
      <c r="B287" s="47">
        <f>491.81</f>
        <v>491.81</v>
      </c>
      <c r="C287" s="47">
        <f>473.64</f>
        <v>473.64</v>
      </c>
      <c r="D287" s="47">
        <f>475.37</f>
        <v>475.37</v>
      </c>
      <c r="E287" s="47">
        <f>367.46</f>
        <v>367.46</v>
      </c>
      <c r="F287" s="47">
        <f>156.71</f>
        <v>156.71</v>
      </c>
      <c r="G287" s="47">
        <f>352.07</f>
        <v>352.07</v>
      </c>
      <c r="H287" s="22">
        <f t="shared" si="181"/>
        <v>352.07</v>
      </c>
      <c r="I287" s="22">
        <f>400</f>
        <v>400</v>
      </c>
      <c r="J287" s="72" t="s">
        <v>440</v>
      </c>
      <c r="K287" s="73">
        <f>(36*2)+(11*2*20)</f>
        <v>512</v>
      </c>
      <c r="L287" s="74">
        <v>151.69</v>
      </c>
      <c r="M287" s="26">
        <f t="shared" ref="M287:M288" si="182">L287/11*12</f>
        <v>165.48</v>
      </c>
      <c r="N287" s="71">
        <v>175</v>
      </c>
      <c r="O287" s="1" t="s">
        <v>441</v>
      </c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5.75" customHeight="1" x14ac:dyDescent="0.25">
      <c r="A288" s="46" t="s">
        <v>442</v>
      </c>
      <c r="B288" s="47">
        <f>86</f>
        <v>86</v>
      </c>
      <c r="C288" s="47">
        <f>129.5</f>
        <v>129.5</v>
      </c>
      <c r="D288" s="47">
        <f>154.25</f>
        <v>154.25</v>
      </c>
      <c r="E288" s="47">
        <f>17.16</f>
        <v>17.16</v>
      </c>
      <c r="F288" s="47">
        <f t="shared" ref="F288:G288" si="183">15.58</f>
        <v>15.58</v>
      </c>
      <c r="G288" s="47">
        <f t="shared" si="183"/>
        <v>15.58</v>
      </c>
      <c r="H288" s="22">
        <f t="shared" si="181"/>
        <v>15.58</v>
      </c>
      <c r="I288" s="22">
        <f>100</f>
        <v>100</v>
      </c>
      <c r="J288" s="72" t="s">
        <v>394</v>
      </c>
      <c r="K288" s="73">
        <v>165</v>
      </c>
      <c r="L288" s="77">
        <v>451.1</v>
      </c>
      <c r="M288" s="26">
        <f t="shared" si="182"/>
        <v>492.10909090909092</v>
      </c>
      <c r="N288" s="71">
        <v>150</v>
      </c>
      <c r="O288" s="1" t="s">
        <v>443</v>
      </c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5.75" customHeight="1" x14ac:dyDescent="0.25">
      <c r="A289" s="46" t="s">
        <v>444</v>
      </c>
      <c r="B289" s="21"/>
      <c r="C289" s="21"/>
      <c r="D289" s="21"/>
      <c r="E289" s="47">
        <f>11.94</f>
        <v>11.94</v>
      </c>
      <c r="F289" s="47">
        <f t="shared" ref="F289:G289" si="184">6.17</f>
        <v>6.17</v>
      </c>
      <c r="G289" s="47">
        <f t="shared" si="184"/>
        <v>6.17</v>
      </c>
      <c r="H289" s="22">
        <f t="shared" si="181"/>
        <v>6.17</v>
      </c>
      <c r="I289" s="22"/>
      <c r="J289" s="72"/>
      <c r="K289" s="73"/>
      <c r="L289" s="77">
        <v>5.69</v>
      </c>
      <c r="M289" s="75">
        <f>L289</f>
        <v>5.69</v>
      </c>
      <c r="N289" s="76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5.75" hidden="1" customHeight="1" x14ac:dyDescent="0.25">
      <c r="A290" s="46" t="s">
        <v>445</v>
      </c>
      <c r="B290" s="21"/>
      <c r="C290" s="21"/>
      <c r="D290" s="47">
        <f>95.38</f>
        <v>95.38</v>
      </c>
      <c r="E290" s="21"/>
      <c r="F290" s="22"/>
      <c r="G290" s="21"/>
      <c r="H290" s="22"/>
      <c r="I290" s="59"/>
      <c r="J290" s="60"/>
      <c r="K290" s="61"/>
      <c r="L290" s="62"/>
      <c r="M290" s="63"/>
      <c r="N290" s="6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5.75" customHeight="1" x14ac:dyDescent="0.25">
      <c r="A291" s="122" t="s">
        <v>446</v>
      </c>
      <c r="B291" s="178">
        <f t="shared" ref="B291:H291" si="185">SUM(B284:B290)</f>
        <v>577.80999999999995</v>
      </c>
      <c r="C291" s="178">
        <f t="shared" si="185"/>
        <v>1526.9</v>
      </c>
      <c r="D291" s="178">
        <f t="shared" si="185"/>
        <v>1275.77</v>
      </c>
      <c r="E291" s="178">
        <f t="shared" si="185"/>
        <v>396.56</v>
      </c>
      <c r="F291" s="178">
        <f t="shared" si="185"/>
        <v>178.46</v>
      </c>
      <c r="G291" s="178">
        <f t="shared" si="185"/>
        <v>727.81999999999994</v>
      </c>
      <c r="H291" s="178">
        <f t="shared" si="185"/>
        <v>727.81999999999994</v>
      </c>
      <c r="I291" s="178">
        <f>SUM(I285:I289)</f>
        <v>600</v>
      </c>
      <c r="J291" s="179"/>
      <c r="K291" s="364">
        <f t="shared" ref="K291:L291" si="186">SUM(K284:K290)</f>
        <v>877</v>
      </c>
      <c r="L291" s="365">
        <f t="shared" si="186"/>
        <v>770.48</v>
      </c>
      <c r="M291" s="366">
        <f>SUM(M285:M289)</f>
        <v>825.279090909091</v>
      </c>
      <c r="N291" s="364">
        <f>SUM(N284:N290)</f>
        <v>525</v>
      </c>
      <c r="O291" s="131"/>
      <c r="P291" s="131"/>
      <c r="Q291" s="131"/>
      <c r="R291" s="131"/>
      <c r="S291" s="131"/>
      <c r="T291" s="131"/>
      <c r="U291" s="131"/>
      <c r="V291" s="131"/>
      <c r="W291" s="131"/>
      <c r="X291" s="131"/>
      <c r="Y291" s="131"/>
      <c r="Z291" s="131"/>
      <c r="AA291" s="131"/>
      <c r="AB291" s="131"/>
      <c r="AC291" s="131"/>
      <c r="AD291" s="131"/>
      <c r="AE291" s="131"/>
    </row>
    <row r="292" spans="1:31" ht="15.75" customHeight="1" x14ac:dyDescent="0.25">
      <c r="A292" s="46" t="s">
        <v>447</v>
      </c>
      <c r="B292" s="21"/>
      <c r="C292" s="21"/>
      <c r="D292" s="21"/>
      <c r="E292" s="21"/>
      <c r="F292" s="22"/>
      <c r="G292" s="21"/>
      <c r="H292" s="22"/>
      <c r="I292" s="22"/>
      <c r="J292" s="23"/>
      <c r="K292" s="24"/>
      <c r="L292" s="25"/>
      <c r="M292" s="26"/>
      <c r="N292" s="2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5.75" customHeight="1" x14ac:dyDescent="0.25">
      <c r="A293" s="46" t="s">
        <v>448</v>
      </c>
      <c r="B293" s="21"/>
      <c r="C293" s="21"/>
      <c r="D293" s="47">
        <f>36.51</f>
        <v>36.51</v>
      </c>
      <c r="E293" s="47">
        <f>180.06</f>
        <v>180.06</v>
      </c>
      <c r="F293" s="47">
        <f>543.69</f>
        <v>543.69000000000005</v>
      </c>
      <c r="G293" s="47">
        <f>363.63</f>
        <v>363.63</v>
      </c>
      <c r="H293" s="22">
        <f t="shared" ref="H293:H294" si="187">G293</f>
        <v>363.63</v>
      </c>
      <c r="I293" s="22">
        <f>100</f>
        <v>100</v>
      </c>
      <c r="J293" s="23" t="s">
        <v>187</v>
      </c>
      <c r="K293" s="71">
        <v>150</v>
      </c>
      <c r="L293" s="25"/>
      <c r="M293" s="26">
        <f>0</f>
        <v>0</v>
      </c>
      <c r="N293" s="2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5.75" customHeight="1" x14ac:dyDescent="0.25">
      <c r="A294" s="46" t="s">
        <v>449</v>
      </c>
      <c r="B294" s="47">
        <f>10.59</f>
        <v>10.59</v>
      </c>
      <c r="C294" s="21"/>
      <c r="D294" s="47">
        <f>364.09</f>
        <v>364.09</v>
      </c>
      <c r="E294" s="47">
        <f>521.44</f>
        <v>521.44000000000005</v>
      </c>
      <c r="F294" s="22"/>
      <c r="G294" s="21">
        <f>98.76</f>
        <v>98.76</v>
      </c>
      <c r="H294" s="22">
        <f t="shared" si="187"/>
        <v>98.76</v>
      </c>
      <c r="I294" s="22">
        <f>250</f>
        <v>250</v>
      </c>
      <c r="J294" s="23"/>
      <c r="K294" s="24">
        <v>150</v>
      </c>
      <c r="L294" s="51">
        <v>5.68</v>
      </c>
      <c r="M294" s="26">
        <f>L294</f>
        <v>5.68</v>
      </c>
      <c r="N294" s="24">
        <v>150</v>
      </c>
      <c r="O294" s="1" t="s">
        <v>450</v>
      </c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5.75" hidden="1" customHeight="1" x14ac:dyDescent="0.25">
      <c r="A295" s="46" t="s">
        <v>451</v>
      </c>
      <c r="B295" s="47">
        <f>35.6</f>
        <v>35.6</v>
      </c>
      <c r="C295" s="21"/>
      <c r="D295" s="47">
        <f>50.59</f>
        <v>50.59</v>
      </c>
      <c r="E295" s="21"/>
      <c r="F295" s="22"/>
      <c r="G295" s="21"/>
      <c r="H295" s="22"/>
      <c r="I295" s="22"/>
      <c r="J295" s="23"/>
      <c r="K295" s="24"/>
      <c r="L295" s="25"/>
      <c r="M295" s="26"/>
      <c r="N295" s="2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5.75" customHeight="1" x14ac:dyDescent="0.25">
      <c r="A296" s="46" t="s">
        <v>452</v>
      </c>
      <c r="B296" s="47">
        <f>2396.51</f>
        <v>2396.5100000000002</v>
      </c>
      <c r="C296" s="47">
        <f>1995.03</f>
        <v>1995.03</v>
      </c>
      <c r="D296" s="47">
        <f>4061.84</f>
        <v>4061.84</v>
      </c>
      <c r="E296" s="47">
        <f>4021.21</f>
        <v>4021.21</v>
      </c>
      <c r="F296" s="47">
        <f>2605.28</f>
        <v>2605.2800000000002</v>
      </c>
      <c r="G296" s="47">
        <f>264.98</f>
        <v>264.98</v>
      </c>
      <c r="H296" s="22">
        <f>G296</f>
        <v>264.98</v>
      </c>
      <c r="I296" s="22">
        <f>5000</f>
        <v>5000</v>
      </c>
      <c r="J296" s="23" t="s">
        <v>453</v>
      </c>
      <c r="K296" s="24">
        <f>K17</f>
        <v>5000</v>
      </c>
      <c r="L296" s="51">
        <v>2779.14</v>
      </c>
      <c r="M296" s="26">
        <f>L296</f>
        <v>2779.14</v>
      </c>
      <c r="N296" s="24">
        <f>N17</f>
        <v>3500</v>
      </c>
      <c r="O296" s="1" t="s">
        <v>454</v>
      </c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5.75" customHeight="1" x14ac:dyDescent="0.25">
      <c r="A297" s="46" t="s">
        <v>455</v>
      </c>
      <c r="B297" s="47">
        <f>246.47</f>
        <v>246.47</v>
      </c>
      <c r="C297" s="47">
        <f>401.67</f>
        <v>401.67</v>
      </c>
      <c r="D297" s="47">
        <f>615.74</f>
        <v>615.74</v>
      </c>
      <c r="E297" s="47">
        <f>924.86</f>
        <v>924.86</v>
      </c>
      <c r="F297" s="47">
        <f>914.48</f>
        <v>914.48</v>
      </c>
      <c r="G297" s="21"/>
      <c r="H297" s="22"/>
      <c r="I297" s="22">
        <f>1000</f>
        <v>1000</v>
      </c>
      <c r="J297" s="23"/>
      <c r="K297" s="24"/>
      <c r="L297" s="25"/>
      <c r="M297" s="26"/>
      <c r="N297" s="2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5.75" customHeight="1" x14ac:dyDescent="0.25">
      <c r="A298" s="46" t="s">
        <v>456</v>
      </c>
      <c r="B298" s="47">
        <f>142.05</f>
        <v>142.05000000000001</v>
      </c>
      <c r="C298" s="47">
        <f>60.86</f>
        <v>60.86</v>
      </c>
      <c r="D298" s="47">
        <f>131.11</f>
        <v>131.11000000000001</v>
      </c>
      <c r="E298" s="21"/>
      <c r="F298" s="47">
        <f t="shared" ref="F298:G298" si="188">39.67</f>
        <v>39.67</v>
      </c>
      <c r="G298" s="47">
        <f t="shared" si="188"/>
        <v>39.67</v>
      </c>
      <c r="H298" s="22">
        <f>G298</f>
        <v>39.67</v>
      </c>
      <c r="I298" s="22"/>
      <c r="J298" s="23"/>
      <c r="K298" s="24"/>
      <c r="L298" s="25"/>
      <c r="M298" s="26"/>
      <c r="N298" s="2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5.75" customHeight="1" x14ac:dyDescent="0.25">
      <c r="A299" s="46" t="s">
        <v>457</v>
      </c>
      <c r="B299" s="47">
        <f>232.81</f>
        <v>232.81</v>
      </c>
      <c r="C299" s="47">
        <f>119.97</f>
        <v>119.97</v>
      </c>
      <c r="D299" s="47">
        <f>322.52</f>
        <v>322.52</v>
      </c>
      <c r="E299" s="47">
        <f>85.61</f>
        <v>85.61</v>
      </c>
      <c r="F299" s="22"/>
      <c r="G299" s="21"/>
      <c r="H299" s="22"/>
      <c r="I299" s="22">
        <f>100</f>
        <v>100</v>
      </c>
      <c r="J299" s="23"/>
      <c r="K299" s="24"/>
      <c r="L299" s="25"/>
      <c r="M299" s="26"/>
      <c r="N299" s="2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5.75" customHeight="1" x14ac:dyDescent="0.25">
      <c r="A300" s="46" t="s">
        <v>458</v>
      </c>
      <c r="B300" s="21"/>
      <c r="C300" s="47">
        <f>80.86</f>
        <v>80.86</v>
      </c>
      <c r="D300" s="47">
        <f>345.61</f>
        <v>345.61</v>
      </c>
      <c r="E300" s="47">
        <f>252.99</f>
        <v>252.99</v>
      </c>
      <c r="F300" s="22"/>
      <c r="G300" s="21"/>
      <c r="H300" s="22"/>
      <c r="I300" s="22"/>
      <c r="J300" s="23"/>
      <c r="K300" s="24"/>
      <c r="L300" s="25"/>
      <c r="M300" s="26"/>
      <c r="N300" s="2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5.75" customHeight="1" x14ac:dyDescent="0.25">
      <c r="A301" s="122" t="s">
        <v>459</v>
      </c>
      <c r="B301" s="178">
        <f t="shared" ref="B301:H301" si="189">SUM(B292:B300)</f>
        <v>3064.03</v>
      </c>
      <c r="C301" s="178">
        <f t="shared" si="189"/>
        <v>2658.39</v>
      </c>
      <c r="D301" s="178">
        <f t="shared" si="189"/>
        <v>5928.0099999999993</v>
      </c>
      <c r="E301" s="178">
        <f t="shared" si="189"/>
        <v>5986.1699999999992</v>
      </c>
      <c r="F301" s="178">
        <f t="shared" si="189"/>
        <v>4103.12</v>
      </c>
      <c r="G301" s="178">
        <f t="shared" si="189"/>
        <v>767.04</v>
      </c>
      <c r="H301" s="178">
        <f t="shared" si="189"/>
        <v>767.04</v>
      </c>
      <c r="I301" s="178">
        <f>SUM(I293:I300)</f>
        <v>6450</v>
      </c>
      <c r="J301" s="179"/>
      <c r="K301" s="364">
        <f t="shared" ref="K301:L301" si="190">SUM(K292:K300)</f>
        <v>5300</v>
      </c>
      <c r="L301" s="365">
        <f t="shared" si="190"/>
        <v>2784.8199999999997</v>
      </c>
      <c r="M301" s="366">
        <f>SUM(M293:M300)</f>
        <v>2784.8199999999997</v>
      </c>
      <c r="N301" s="364">
        <f>SUM(N292:N300)</f>
        <v>3650</v>
      </c>
      <c r="O301" s="131"/>
      <c r="P301" s="131"/>
      <c r="Q301" s="131"/>
      <c r="R301" s="131"/>
      <c r="S301" s="131"/>
      <c r="T301" s="131"/>
      <c r="U301" s="131"/>
      <c r="V301" s="131"/>
      <c r="W301" s="131"/>
      <c r="X301" s="131"/>
      <c r="Y301" s="131"/>
      <c r="Z301" s="131"/>
      <c r="AA301" s="131"/>
      <c r="AB301" s="131"/>
      <c r="AC301" s="131"/>
      <c r="AD301" s="131"/>
      <c r="AE301" s="131"/>
    </row>
    <row r="302" spans="1:31" ht="15.75" customHeight="1" x14ac:dyDescent="0.25">
      <c r="A302" s="122" t="s">
        <v>460</v>
      </c>
      <c r="B302" s="123">
        <f>40.59</f>
        <v>40.590000000000003</v>
      </c>
      <c r="C302" s="123">
        <f>221.19</f>
        <v>221.19</v>
      </c>
      <c r="D302" s="123">
        <f>246.59</f>
        <v>246.59</v>
      </c>
      <c r="E302" s="123">
        <f>135.75</f>
        <v>135.75</v>
      </c>
      <c r="F302" s="123">
        <f t="shared" ref="F302:G302" si="191">85.96</f>
        <v>85.96</v>
      </c>
      <c r="G302" s="123">
        <f t="shared" si="191"/>
        <v>85.96</v>
      </c>
      <c r="H302" s="124">
        <f>G302</f>
        <v>85.96</v>
      </c>
      <c r="I302" s="124">
        <f>100</f>
        <v>100</v>
      </c>
      <c r="J302" s="126" t="s">
        <v>33</v>
      </c>
      <c r="K302" s="127">
        <f>22*4</f>
        <v>88</v>
      </c>
      <c r="L302" s="128">
        <v>22.78</v>
      </c>
      <c r="M302" s="215">
        <f>L302</f>
        <v>22.78</v>
      </c>
      <c r="N302" s="216">
        <v>100</v>
      </c>
      <c r="O302" s="131" t="s">
        <v>461</v>
      </c>
      <c r="P302" s="131"/>
      <c r="Q302" s="131"/>
      <c r="R302" s="131"/>
      <c r="S302" s="131"/>
      <c r="T302" s="131"/>
      <c r="U302" s="131"/>
      <c r="V302" s="131"/>
      <c r="W302" s="131"/>
      <c r="X302" s="131"/>
      <c r="Y302" s="131"/>
      <c r="Z302" s="131"/>
      <c r="AA302" s="131"/>
      <c r="AB302" s="131"/>
      <c r="AC302" s="131"/>
      <c r="AD302" s="131"/>
      <c r="AE302" s="131"/>
    </row>
    <row r="303" spans="1:31" ht="15.75" customHeight="1" x14ac:dyDescent="0.25">
      <c r="A303" s="217" t="s">
        <v>462</v>
      </c>
      <c r="B303" s="218">
        <f t="shared" ref="B303:H303" si="192">((((((((B266))+(B267))+(B273))+(B283))+(B291))+(B301))+(B302))</f>
        <v>4123.1900000000005</v>
      </c>
      <c r="C303" s="218">
        <f t="shared" si="192"/>
        <v>6114.4999999999991</v>
      </c>
      <c r="D303" s="218">
        <f t="shared" si="192"/>
        <v>11231.02</v>
      </c>
      <c r="E303" s="218">
        <f t="shared" si="192"/>
        <v>8061.3799999999992</v>
      </c>
      <c r="F303" s="218">
        <f t="shared" si="192"/>
        <v>4772.8599999999997</v>
      </c>
      <c r="G303" s="218">
        <f t="shared" si="192"/>
        <v>1989.9499999999998</v>
      </c>
      <c r="H303" s="218">
        <f t="shared" si="192"/>
        <v>1989.9499999999998</v>
      </c>
      <c r="I303" s="218">
        <f>I273+I283+I291+I301+I302</f>
        <v>8600</v>
      </c>
      <c r="J303" s="219"/>
      <c r="K303" s="220">
        <f t="shared" ref="K303:L303" si="193">((((((((K266))+(K273))+(K283))+(K291))+(K301))+(K302)))</f>
        <v>6975</v>
      </c>
      <c r="L303" s="221">
        <f t="shared" si="193"/>
        <v>4280.4699999999993</v>
      </c>
      <c r="M303" s="222">
        <f>SUM(M301:M302,M291,M283,M273)</f>
        <v>4345.2072727272725</v>
      </c>
      <c r="N303" s="223">
        <f>((((((((N266))+(N273))+(N283))+(N291))+(N301))+(N302)))</f>
        <v>7855</v>
      </c>
      <c r="O303" s="224"/>
      <c r="P303" s="224"/>
      <c r="Q303" s="224"/>
      <c r="R303" s="224"/>
      <c r="S303" s="224"/>
      <c r="T303" s="224"/>
      <c r="U303" s="224"/>
      <c r="V303" s="224"/>
      <c r="W303" s="224"/>
      <c r="X303" s="224"/>
      <c r="Y303" s="224"/>
      <c r="Z303" s="224"/>
      <c r="AA303" s="224"/>
      <c r="AB303" s="224"/>
      <c r="AC303" s="224"/>
      <c r="AD303" s="224"/>
      <c r="AE303" s="224"/>
    </row>
    <row r="304" spans="1:31" ht="15.75" customHeight="1" x14ac:dyDescent="0.25">
      <c r="A304" s="20"/>
      <c r="B304" s="47"/>
      <c r="C304" s="21"/>
      <c r="D304" s="21"/>
      <c r="E304" s="21"/>
      <c r="F304" s="22"/>
      <c r="G304" s="21"/>
      <c r="H304" s="22"/>
      <c r="I304" s="22"/>
      <c r="J304" s="23"/>
      <c r="K304" s="24"/>
      <c r="L304" s="25"/>
      <c r="M304" s="26"/>
      <c r="N304" s="24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5.75" customHeight="1" x14ac:dyDescent="0.25">
      <c r="A305" s="122" t="s">
        <v>463</v>
      </c>
      <c r="B305" s="123">
        <f>122.02</f>
        <v>122.02</v>
      </c>
      <c r="C305" s="125"/>
      <c r="D305" s="125"/>
      <c r="E305" s="125"/>
      <c r="F305" s="124"/>
      <c r="G305" s="125"/>
      <c r="H305" s="124"/>
      <c r="I305" s="124"/>
      <c r="J305" s="126"/>
      <c r="K305" s="127"/>
      <c r="L305" s="128"/>
      <c r="M305" s="129"/>
      <c r="N305" s="130"/>
      <c r="O305" s="131"/>
      <c r="P305" s="131"/>
      <c r="Q305" s="131"/>
      <c r="R305" s="131"/>
      <c r="S305" s="131"/>
      <c r="T305" s="131"/>
      <c r="U305" s="131"/>
      <c r="V305" s="131"/>
      <c r="W305" s="131"/>
      <c r="X305" s="131"/>
      <c r="Y305" s="131"/>
      <c r="Z305" s="131"/>
      <c r="AA305" s="131"/>
      <c r="AB305" s="131"/>
      <c r="AC305" s="131"/>
      <c r="AD305" s="131"/>
      <c r="AE305" s="131"/>
    </row>
    <row r="306" spans="1:31" ht="15.75" customHeight="1" x14ac:dyDescent="0.25">
      <c r="A306" s="122" t="s">
        <v>464</v>
      </c>
      <c r="B306" s="123">
        <f>61.39</f>
        <v>61.39</v>
      </c>
      <c r="C306" s="123">
        <f>222</f>
        <v>222</v>
      </c>
      <c r="D306" s="123">
        <f>62.32</f>
        <v>62.32</v>
      </c>
      <c r="E306" s="123">
        <f>216.83</f>
        <v>216.83</v>
      </c>
      <c r="F306" s="123">
        <f>91.44</f>
        <v>91.44</v>
      </c>
      <c r="G306" s="123">
        <f>78.96</f>
        <v>78.959999999999994</v>
      </c>
      <c r="H306" s="124">
        <f t="shared" ref="H306:H309" si="194">G306</f>
        <v>78.959999999999994</v>
      </c>
      <c r="I306" s="124">
        <f>225</f>
        <v>225</v>
      </c>
      <c r="J306" s="126" t="s">
        <v>465</v>
      </c>
      <c r="K306" s="275">
        <v>150</v>
      </c>
      <c r="L306" s="132">
        <v>26</v>
      </c>
      <c r="M306" s="129">
        <f t="shared" ref="M306:M309" si="195">L306</f>
        <v>26</v>
      </c>
      <c r="N306" s="225">
        <v>150</v>
      </c>
      <c r="O306" s="131"/>
      <c r="P306" s="131"/>
      <c r="Q306" s="131"/>
      <c r="R306" s="131"/>
      <c r="S306" s="131"/>
      <c r="T306" s="131"/>
      <c r="U306" s="131"/>
      <c r="V306" s="131"/>
      <c r="W306" s="131"/>
      <c r="X306" s="131"/>
      <c r="Y306" s="131"/>
      <c r="Z306" s="131"/>
      <c r="AA306" s="131"/>
      <c r="AB306" s="131"/>
      <c r="AC306" s="131"/>
      <c r="AD306" s="131"/>
      <c r="AE306" s="131"/>
    </row>
    <row r="307" spans="1:31" ht="15.75" customHeight="1" x14ac:dyDescent="0.25">
      <c r="A307" s="122" t="s">
        <v>466</v>
      </c>
      <c r="B307" s="125"/>
      <c r="C307" s="123">
        <f>378.1</f>
        <v>378.1</v>
      </c>
      <c r="D307" s="123">
        <f>821.35</f>
        <v>821.35</v>
      </c>
      <c r="E307" s="123">
        <f>536.4</f>
        <v>536.4</v>
      </c>
      <c r="F307" s="123">
        <f>240.55</f>
        <v>240.55</v>
      </c>
      <c r="G307" s="123">
        <f>108.59</f>
        <v>108.59</v>
      </c>
      <c r="H307" s="124">
        <f t="shared" si="194"/>
        <v>108.59</v>
      </c>
      <c r="I307" s="124">
        <f>125</f>
        <v>125</v>
      </c>
      <c r="J307" s="126" t="s">
        <v>465</v>
      </c>
      <c r="K307" s="275">
        <v>250</v>
      </c>
      <c r="L307" s="132">
        <v>39.979999999999997</v>
      </c>
      <c r="M307" s="129">
        <f t="shared" si="195"/>
        <v>39.979999999999997</v>
      </c>
      <c r="N307" s="225">
        <v>250</v>
      </c>
      <c r="O307" s="131"/>
      <c r="P307" s="131"/>
      <c r="Q307" s="131"/>
      <c r="R307" s="131"/>
      <c r="S307" s="131"/>
      <c r="T307" s="131"/>
      <c r="U307" s="131"/>
      <c r="V307" s="131"/>
      <c r="W307" s="131"/>
      <c r="X307" s="131"/>
      <c r="Y307" s="131"/>
      <c r="Z307" s="131"/>
      <c r="AA307" s="131"/>
      <c r="AB307" s="131"/>
      <c r="AC307" s="131"/>
      <c r="AD307" s="131"/>
      <c r="AE307" s="131"/>
    </row>
    <row r="308" spans="1:31" ht="15.75" customHeight="1" x14ac:dyDescent="0.25">
      <c r="A308" s="122" t="s">
        <v>467</v>
      </c>
      <c r="B308" s="123">
        <v>175.74</v>
      </c>
      <c r="C308" s="123">
        <v>787.08</v>
      </c>
      <c r="D308" s="123">
        <v>281.07</v>
      </c>
      <c r="E308" s="123">
        <v>1208</v>
      </c>
      <c r="F308" s="123">
        <v>64.099999999999994</v>
      </c>
      <c r="G308" s="123">
        <f>59.1</f>
        <v>59.1</v>
      </c>
      <c r="H308" s="124">
        <f t="shared" si="194"/>
        <v>59.1</v>
      </c>
      <c r="I308" s="124">
        <f>200</f>
        <v>200</v>
      </c>
      <c r="J308" s="126" t="s">
        <v>33</v>
      </c>
      <c r="K308" s="275">
        <v>500</v>
      </c>
      <c r="L308" s="132">
        <v>91.48</v>
      </c>
      <c r="M308" s="292">
        <f t="shared" si="195"/>
        <v>91.48</v>
      </c>
      <c r="N308" s="293">
        <v>300</v>
      </c>
      <c r="O308" s="214" t="s">
        <v>468</v>
      </c>
      <c r="P308" s="131"/>
      <c r="Q308" s="131"/>
      <c r="R308" s="131"/>
      <c r="S308" s="131"/>
      <c r="T308" s="131"/>
      <c r="U308" s="131"/>
      <c r="V308" s="131"/>
      <c r="W308" s="131"/>
      <c r="X308" s="131"/>
      <c r="Y308" s="131"/>
      <c r="Z308" s="131"/>
      <c r="AA308" s="131"/>
      <c r="AB308" s="131"/>
      <c r="AC308" s="131"/>
      <c r="AD308" s="131"/>
      <c r="AE308" s="131"/>
    </row>
    <row r="309" spans="1:31" ht="15.75" customHeight="1" x14ac:dyDescent="0.25">
      <c r="A309" s="122" t="s">
        <v>469</v>
      </c>
      <c r="B309" s="125"/>
      <c r="C309" s="123">
        <f t="shared" ref="C309:G309" si="196">22.5</f>
        <v>22.5</v>
      </c>
      <c r="D309" s="123">
        <f t="shared" si="196"/>
        <v>22.5</v>
      </c>
      <c r="E309" s="123">
        <f t="shared" si="196"/>
        <v>22.5</v>
      </c>
      <c r="F309" s="123">
        <f t="shared" si="196"/>
        <v>22.5</v>
      </c>
      <c r="G309" s="123">
        <f t="shared" si="196"/>
        <v>22.5</v>
      </c>
      <c r="H309" s="124">
        <f t="shared" si="194"/>
        <v>22.5</v>
      </c>
      <c r="I309" s="124">
        <f>25</f>
        <v>25</v>
      </c>
      <c r="J309" s="126" t="s">
        <v>316</v>
      </c>
      <c r="K309" s="127">
        <v>45</v>
      </c>
      <c r="L309" s="132">
        <v>45</v>
      </c>
      <c r="M309" s="215">
        <f t="shared" si="195"/>
        <v>45</v>
      </c>
      <c r="N309" s="216">
        <v>45</v>
      </c>
      <c r="O309" s="131"/>
      <c r="P309" s="131"/>
      <c r="Q309" s="131"/>
      <c r="R309" s="131"/>
      <c r="S309" s="131"/>
      <c r="T309" s="131"/>
      <c r="U309" s="131"/>
      <c r="V309" s="131"/>
      <c r="W309" s="131"/>
      <c r="X309" s="131"/>
      <c r="Y309" s="131"/>
      <c r="Z309" s="131"/>
      <c r="AA309" s="131"/>
      <c r="AB309" s="131"/>
      <c r="AC309" s="131"/>
      <c r="AD309" s="131"/>
      <c r="AE309" s="131"/>
    </row>
    <row r="310" spans="1:31" ht="15.75" customHeight="1" x14ac:dyDescent="0.25">
      <c r="A310" s="217" t="s">
        <v>470</v>
      </c>
      <c r="B310" s="218">
        <f t="shared" ref="B310:H310" si="197">SUM(B305:B309)</f>
        <v>359.15</v>
      </c>
      <c r="C310" s="218">
        <f t="shared" si="197"/>
        <v>1409.68</v>
      </c>
      <c r="D310" s="218">
        <f t="shared" si="197"/>
        <v>1187.24</v>
      </c>
      <c r="E310" s="218">
        <f t="shared" si="197"/>
        <v>1983.73</v>
      </c>
      <c r="F310" s="218">
        <f t="shared" si="197"/>
        <v>418.59000000000003</v>
      </c>
      <c r="G310" s="218">
        <f t="shared" si="197"/>
        <v>269.14999999999998</v>
      </c>
      <c r="H310" s="218">
        <f t="shared" si="197"/>
        <v>269.14999999999998</v>
      </c>
      <c r="I310" s="218">
        <f>SUM(I306:I309)</f>
        <v>575</v>
      </c>
      <c r="J310" s="219"/>
      <c r="K310" s="220">
        <f t="shared" ref="K310:L310" si="198">SUM(K305:K309)</f>
        <v>945</v>
      </c>
      <c r="L310" s="221">
        <f t="shared" si="198"/>
        <v>202.45999999999998</v>
      </c>
      <c r="M310" s="222">
        <f>SUM(M306:M309)</f>
        <v>202.45999999999998</v>
      </c>
      <c r="N310" s="223">
        <f>SUM(N305:N309)</f>
        <v>745</v>
      </c>
      <c r="O310" s="224"/>
      <c r="P310" s="224"/>
      <c r="Q310" s="224"/>
      <c r="R310" s="224"/>
      <c r="S310" s="224"/>
      <c r="T310" s="224"/>
      <c r="U310" s="224"/>
      <c r="V310" s="224"/>
      <c r="W310" s="224"/>
      <c r="X310" s="224"/>
      <c r="Y310" s="224"/>
      <c r="Z310" s="224"/>
      <c r="AA310" s="224"/>
      <c r="AB310" s="224"/>
      <c r="AC310" s="224"/>
      <c r="AD310" s="224"/>
      <c r="AE310" s="224"/>
    </row>
    <row r="311" spans="1:31" ht="15.75" customHeight="1" x14ac:dyDescent="0.25">
      <c r="A311" s="20"/>
      <c r="B311" s="21"/>
      <c r="C311" s="21"/>
      <c r="D311" s="21"/>
      <c r="E311" s="21"/>
      <c r="F311" s="22"/>
      <c r="G311" s="21"/>
      <c r="H311" s="22"/>
      <c r="I311" s="22"/>
      <c r="J311" s="23"/>
      <c r="K311" s="24"/>
      <c r="L311" s="25"/>
      <c r="M311" s="26"/>
      <c r="N311" s="24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5.75" customHeight="1" x14ac:dyDescent="0.25">
      <c r="A312" s="48" t="s">
        <v>471</v>
      </c>
      <c r="B312" s="49"/>
      <c r="C312" s="49"/>
      <c r="D312" s="49"/>
      <c r="E312" s="49"/>
      <c r="F312" s="55"/>
      <c r="G312" s="49"/>
      <c r="H312" s="55"/>
      <c r="I312" s="55"/>
      <c r="J312" s="72"/>
      <c r="K312" s="73"/>
      <c r="L312" s="74"/>
      <c r="M312" s="75"/>
      <c r="N312" s="76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</row>
    <row r="313" spans="1:31" ht="15.75" customHeight="1" x14ac:dyDescent="0.25">
      <c r="A313" s="48" t="s">
        <v>472</v>
      </c>
      <c r="B313" s="49"/>
      <c r="C313" s="49"/>
      <c r="D313" s="49"/>
      <c r="E313" s="49"/>
      <c r="F313" s="50">
        <f>4000</f>
        <v>4000</v>
      </c>
      <c r="G313" s="50">
        <f>10000</f>
        <v>10000</v>
      </c>
      <c r="H313" s="22">
        <f>G313</f>
        <v>10000</v>
      </c>
      <c r="I313" s="22">
        <f>10000</f>
        <v>10000</v>
      </c>
      <c r="J313" s="72" t="s">
        <v>473</v>
      </c>
      <c r="K313" s="71">
        <v>19500</v>
      </c>
      <c r="L313" s="51">
        <v>7572</v>
      </c>
      <c r="M313" s="26">
        <f>L313+2000</f>
        <v>9572</v>
      </c>
      <c r="N313" s="71">
        <v>13928</v>
      </c>
      <c r="O313" s="294" t="s">
        <v>474</v>
      </c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</row>
    <row r="314" spans="1:31" ht="15.75" customHeight="1" x14ac:dyDescent="0.25">
      <c r="A314" s="48" t="s">
        <v>475</v>
      </c>
      <c r="B314" s="49"/>
      <c r="C314" s="50">
        <f>343.36</f>
        <v>343.36</v>
      </c>
      <c r="D314" s="49"/>
      <c r="E314" s="49"/>
      <c r="F314" s="55"/>
      <c r="G314" s="49"/>
      <c r="H314" s="55"/>
      <c r="I314" s="22"/>
      <c r="J314" s="72" t="s">
        <v>476</v>
      </c>
      <c r="K314" s="73">
        <v>350</v>
      </c>
      <c r="L314" s="74">
        <v>242.71</v>
      </c>
      <c r="M314" s="26">
        <f>L314</f>
        <v>242.71</v>
      </c>
      <c r="N314" s="24">
        <v>350</v>
      </c>
      <c r="O314" s="53" t="s">
        <v>477</v>
      </c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</row>
    <row r="315" spans="1:31" ht="15.75" hidden="1" customHeight="1" x14ac:dyDescent="0.25">
      <c r="A315" s="48" t="s">
        <v>478</v>
      </c>
      <c r="B315" s="49"/>
      <c r="C315" s="50">
        <f>37.46</f>
        <v>37.46</v>
      </c>
      <c r="D315" s="49"/>
      <c r="E315" s="49"/>
      <c r="F315" s="55"/>
      <c r="G315" s="49"/>
      <c r="H315" s="55"/>
      <c r="I315" s="22"/>
      <c r="J315" s="72"/>
      <c r="K315" s="73"/>
      <c r="L315" s="74"/>
      <c r="M315" s="26"/>
      <c r="N315" s="24"/>
      <c r="O315" s="53" t="s">
        <v>477</v>
      </c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</row>
    <row r="316" spans="1:31" ht="15.75" customHeight="1" x14ac:dyDescent="0.25">
      <c r="A316" s="48" t="s">
        <v>479</v>
      </c>
      <c r="B316" s="49"/>
      <c r="C316" s="50">
        <f>200</f>
        <v>200</v>
      </c>
      <c r="D316" s="49"/>
      <c r="E316" s="49"/>
      <c r="F316" s="55"/>
      <c r="G316" s="49">
        <f>349.15</f>
        <v>349.15</v>
      </c>
      <c r="H316" s="55">
        <f t="shared" ref="H316:H317" si="199">G316</f>
        <v>349.15</v>
      </c>
      <c r="I316" s="22">
        <f>500</f>
        <v>500</v>
      </c>
      <c r="J316" s="72" t="s">
        <v>476</v>
      </c>
      <c r="K316" s="73">
        <v>300</v>
      </c>
      <c r="L316" s="74"/>
      <c r="M316" s="26">
        <f t="shared" ref="M316:M317" si="200">L316</f>
        <v>0</v>
      </c>
      <c r="N316" s="24">
        <v>300</v>
      </c>
      <c r="O316" s="53" t="s">
        <v>477</v>
      </c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</row>
    <row r="317" spans="1:31" ht="15.75" customHeight="1" x14ac:dyDescent="0.25">
      <c r="A317" s="48" t="s">
        <v>480</v>
      </c>
      <c r="B317" s="49"/>
      <c r="C317" s="50">
        <f>98</f>
        <v>98</v>
      </c>
      <c r="D317" s="50">
        <f>6.84</f>
        <v>6.84</v>
      </c>
      <c r="E317" s="49"/>
      <c r="F317" s="55"/>
      <c r="G317" s="49">
        <f>11.85</f>
        <v>11.85</v>
      </c>
      <c r="H317" s="55">
        <f t="shared" si="199"/>
        <v>11.85</v>
      </c>
      <c r="I317" s="22"/>
      <c r="J317" s="72" t="s">
        <v>476</v>
      </c>
      <c r="K317" s="73">
        <v>200</v>
      </c>
      <c r="L317" s="74">
        <v>151.5</v>
      </c>
      <c r="M317" s="26">
        <f t="shared" si="200"/>
        <v>151.5</v>
      </c>
      <c r="N317" s="24">
        <v>200</v>
      </c>
      <c r="O317" s="53" t="s">
        <v>477</v>
      </c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</row>
    <row r="318" spans="1:31" ht="15.75" customHeight="1" x14ac:dyDescent="0.25">
      <c r="A318" s="48" t="s">
        <v>481</v>
      </c>
      <c r="B318" s="49"/>
      <c r="C318" s="50"/>
      <c r="D318" s="50"/>
      <c r="E318" s="49"/>
      <c r="F318" s="55"/>
      <c r="G318" s="49"/>
      <c r="H318" s="55"/>
      <c r="I318" s="22">
        <f>500</f>
        <v>500</v>
      </c>
      <c r="J318" s="23"/>
      <c r="K318" s="24"/>
      <c r="L318" s="25"/>
      <c r="M318" s="26"/>
      <c r="N318" s="24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</row>
    <row r="319" spans="1:31" ht="15.75" customHeight="1" x14ac:dyDescent="0.25">
      <c r="A319" s="217" t="s">
        <v>482</v>
      </c>
      <c r="B319" s="218">
        <f t="shared" ref="B319:H319" si="201">SUM(B312:B317)</f>
        <v>0</v>
      </c>
      <c r="C319" s="218">
        <f t="shared" si="201"/>
        <v>678.81999999999994</v>
      </c>
      <c r="D319" s="218">
        <f t="shared" si="201"/>
        <v>6.84</v>
      </c>
      <c r="E319" s="218">
        <f t="shared" si="201"/>
        <v>0</v>
      </c>
      <c r="F319" s="218">
        <f t="shared" si="201"/>
        <v>4000</v>
      </c>
      <c r="G319" s="218">
        <f t="shared" si="201"/>
        <v>10361</v>
      </c>
      <c r="H319" s="218">
        <f t="shared" si="201"/>
        <v>10361</v>
      </c>
      <c r="I319" s="218">
        <f>SUM(I313:I318)</f>
        <v>11000</v>
      </c>
      <c r="J319" s="219"/>
      <c r="K319" s="370">
        <f t="shared" ref="K319:L319" si="202">SUM(K312:K318)</f>
        <v>20350</v>
      </c>
      <c r="L319" s="371">
        <f t="shared" si="202"/>
        <v>7966.21</v>
      </c>
      <c r="M319" s="372">
        <f>SUM(M313:M318)</f>
        <v>9966.2099999999991</v>
      </c>
      <c r="N319" s="370">
        <f>SUM(N312:N318)</f>
        <v>14778</v>
      </c>
      <c r="O319" s="224"/>
      <c r="P319" s="224"/>
      <c r="Q319" s="224"/>
      <c r="R319" s="224"/>
      <c r="S319" s="224"/>
      <c r="T319" s="224"/>
      <c r="U319" s="224"/>
      <c r="V319" s="224"/>
      <c r="W319" s="224"/>
      <c r="X319" s="224"/>
      <c r="Y319" s="224"/>
      <c r="Z319" s="224"/>
      <c r="AA319" s="224"/>
      <c r="AB319" s="224"/>
      <c r="AC319" s="224"/>
      <c r="AD319" s="224"/>
      <c r="AE319" s="224"/>
    </row>
    <row r="320" spans="1:31" ht="15.75" customHeight="1" x14ac:dyDescent="0.25">
      <c r="A320" s="20"/>
      <c r="B320" s="21"/>
      <c r="C320" s="21"/>
      <c r="D320" s="21"/>
      <c r="E320" s="21"/>
      <c r="F320" s="22"/>
      <c r="G320" s="21"/>
      <c r="H320" s="22"/>
      <c r="I320" s="22"/>
      <c r="J320" s="23"/>
      <c r="K320" s="24"/>
      <c r="L320" s="25"/>
      <c r="M320" s="26"/>
      <c r="N320" s="24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5.75" customHeight="1" x14ac:dyDescent="0.25">
      <c r="A321" s="48" t="s">
        <v>483</v>
      </c>
      <c r="B321" s="49"/>
      <c r="C321" s="49"/>
      <c r="D321" s="49"/>
      <c r="E321" s="49"/>
      <c r="F321" s="55"/>
      <c r="G321" s="49"/>
      <c r="H321" s="55"/>
      <c r="I321" s="55"/>
      <c r="J321" s="72"/>
      <c r="K321" s="73"/>
      <c r="L321" s="74"/>
      <c r="M321" s="75"/>
      <c r="N321" s="76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</row>
    <row r="322" spans="1:31" ht="15.75" customHeight="1" x14ac:dyDescent="0.25">
      <c r="A322" s="48" t="s">
        <v>484</v>
      </c>
      <c r="B322" s="49"/>
      <c r="C322" s="49"/>
      <c r="D322" s="49"/>
      <c r="E322" s="49"/>
      <c r="F322" s="50"/>
      <c r="G322" s="50"/>
      <c r="H322" s="22"/>
      <c r="I322" s="22">
        <f>1000</f>
        <v>1000</v>
      </c>
      <c r="J322" s="23" t="s">
        <v>485</v>
      </c>
      <c r="K322" s="24">
        <v>1000</v>
      </c>
      <c r="L322" s="51">
        <v>314.82</v>
      </c>
      <c r="M322" s="26">
        <f t="shared" ref="M322:M325" si="203">L322</f>
        <v>314.82</v>
      </c>
      <c r="N322" s="71">
        <v>300</v>
      </c>
      <c r="O322" s="295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</row>
    <row r="323" spans="1:31" ht="15.75" customHeight="1" x14ac:dyDescent="0.25">
      <c r="A323" s="48" t="s">
        <v>486</v>
      </c>
      <c r="B323" s="49"/>
      <c r="C323" s="49"/>
      <c r="D323" s="49"/>
      <c r="E323" s="49"/>
      <c r="F323" s="50">
        <f t="shared" ref="F323:G323" si="204">53.97</f>
        <v>53.97</v>
      </c>
      <c r="G323" s="50">
        <f t="shared" si="204"/>
        <v>53.97</v>
      </c>
      <c r="H323" s="22">
        <f>G323</f>
        <v>53.97</v>
      </c>
      <c r="I323" s="22">
        <f>1300</f>
        <v>1300</v>
      </c>
      <c r="J323" s="23" t="s">
        <v>487</v>
      </c>
      <c r="K323" s="24">
        <f>130*2</f>
        <v>260</v>
      </c>
      <c r="L323" s="25"/>
      <c r="M323" s="26">
        <f t="shared" si="203"/>
        <v>0</v>
      </c>
      <c r="N323" s="71"/>
      <c r="O323" s="54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</row>
    <row r="324" spans="1:31" ht="15.75" customHeight="1" x14ac:dyDescent="0.25">
      <c r="A324" s="296" t="s">
        <v>488</v>
      </c>
      <c r="B324" s="49"/>
      <c r="C324" s="49"/>
      <c r="D324" s="49"/>
      <c r="E324" s="49"/>
      <c r="F324" s="50"/>
      <c r="G324" s="50"/>
      <c r="H324" s="55"/>
      <c r="I324" s="22">
        <f>4550</f>
        <v>4550</v>
      </c>
      <c r="J324" s="23" t="s">
        <v>33</v>
      </c>
      <c r="K324" s="71">
        <v>4800</v>
      </c>
      <c r="L324" s="25"/>
      <c r="M324" s="26">
        <f t="shared" si="203"/>
        <v>0</v>
      </c>
      <c r="N324" s="24">
        <f>650*12</f>
        <v>7800</v>
      </c>
      <c r="O324" s="53" t="s">
        <v>489</v>
      </c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</row>
    <row r="325" spans="1:31" ht="15.75" customHeight="1" x14ac:dyDescent="0.25">
      <c r="A325" s="296" t="s">
        <v>490</v>
      </c>
      <c r="B325" s="49"/>
      <c r="C325" s="49"/>
      <c r="D325" s="49"/>
      <c r="E325" s="49"/>
      <c r="F325" s="50"/>
      <c r="G325" s="50"/>
      <c r="H325" s="55"/>
      <c r="I325" s="22">
        <f>100</f>
        <v>100</v>
      </c>
      <c r="J325" s="23"/>
      <c r="K325" s="24"/>
      <c r="L325" s="25"/>
      <c r="M325" s="26">
        <f t="shared" si="203"/>
        <v>0</v>
      </c>
      <c r="N325" s="24">
        <v>0</v>
      </c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</row>
    <row r="326" spans="1:31" ht="15.75" customHeight="1" x14ac:dyDescent="0.25">
      <c r="A326" s="48" t="s">
        <v>491</v>
      </c>
      <c r="B326" s="49"/>
      <c r="C326" s="49"/>
      <c r="D326" s="49"/>
      <c r="E326" s="49"/>
      <c r="F326" s="50">
        <f>1442.07</f>
        <v>1442.07</v>
      </c>
      <c r="G326" s="50">
        <f>1200</f>
        <v>1200</v>
      </c>
      <c r="H326" s="22">
        <f t="shared" ref="H326:H327" si="205">G326</f>
        <v>1200</v>
      </c>
      <c r="I326" s="22">
        <f>1200</f>
        <v>1200</v>
      </c>
      <c r="J326" s="23" t="s">
        <v>28</v>
      </c>
      <c r="K326" s="24">
        <f>1.5*100*12</f>
        <v>1800</v>
      </c>
      <c r="L326" s="51">
        <v>672.13</v>
      </c>
      <c r="M326" s="26">
        <f>L326/11*12</f>
        <v>733.23272727272729</v>
      </c>
      <c r="N326" s="24">
        <f>1.5*100*12</f>
        <v>1800</v>
      </c>
      <c r="O326" s="53" t="s">
        <v>492</v>
      </c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</row>
    <row r="327" spans="1:31" ht="15.75" customHeight="1" x14ac:dyDescent="0.25">
      <c r="A327" s="48" t="s">
        <v>493</v>
      </c>
      <c r="B327" s="49"/>
      <c r="C327" s="49"/>
      <c r="D327" s="49"/>
      <c r="E327" s="49"/>
      <c r="F327" s="50">
        <f>1400</f>
        <v>1400</v>
      </c>
      <c r="G327" s="50">
        <f>1971.05</f>
        <v>1971.05</v>
      </c>
      <c r="H327" s="22">
        <f t="shared" si="205"/>
        <v>1971.05</v>
      </c>
      <c r="I327" s="22"/>
      <c r="J327" s="23" t="s">
        <v>33</v>
      </c>
      <c r="K327" s="373">
        <f>K32</f>
        <v>2000</v>
      </c>
      <c r="L327" s="384"/>
      <c r="M327" s="375">
        <f>L327</f>
        <v>0</v>
      </c>
      <c r="N327" s="37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</row>
    <row r="328" spans="1:31" ht="15.75" customHeight="1" x14ac:dyDescent="0.25">
      <c r="A328" s="217" t="s">
        <v>494</v>
      </c>
      <c r="B328" s="218">
        <f t="shared" ref="B328:H328" si="206">SUM(B321:B327)</f>
        <v>0</v>
      </c>
      <c r="C328" s="218">
        <f t="shared" si="206"/>
        <v>0</v>
      </c>
      <c r="D328" s="218">
        <f t="shared" si="206"/>
        <v>0</v>
      </c>
      <c r="E328" s="218">
        <f t="shared" si="206"/>
        <v>0</v>
      </c>
      <c r="F328" s="218">
        <f t="shared" si="206"/>
        <v>2896.04</v>
      </c>
      <c r="G328" s="218">
        <f t="shared" si="206"/>
        <v>3225.02</v>
      </c>
      <c r="H328" s="218">
        <f t="shared" si="206"/>
        <v>3225.02</v>
      </c>
      <c r="I328" s="218">
        <f>SUM(I322:I327)</f>
        <v>8150</v>
      </c>
      <c r="J328" s="219"/>
      <c r="K328" s="370">
        <f t="shared" ref="K328:L328" si="207">SUM(K321:K327)</f>
        <v>9860</v>
      </c>
      <c r="L328" s="371">
        <f t="shared" si="207"/>
        <v>986.95</v>
      </c>
      <c r="M328" s="372">
        <f>SUM(M322:M327)</f>
        <v>1048.0527272727272</v>
      </c>
      <c r="N328" s="370">
        <f>SUM(N321:N327)</f>
        <v>9900</v>
      </c>
      <c r="O328" s="224"/>
      <c r="P328" s="224"/>
      <c r="Q328" s="224"/>
      <c r="R328" s="224"/>
      <c r="S328" s="224"/>
      <c r="T328" s="224"/>
      <c r="U328" s="224"/>
      <c r="V328" s="224"/>
      <c r="W328" s="224"/>
      <c r="X328" s="224"/>
      <c r="Y328" s="224"/>
      <c r="Z328" s="224"/>
      <c r="AA328" s="224"/>
      <c r="AB328" s="224"/>
      <c r="AC328" s="224"/>
      <c r="AD328" s="224"/>
      <c r="AE328" s="224"/>
    </row>
    <row r="329" spans="1:31" ht="15.75" customHeight="1" thickBot="1" x14ac:dyDescent="0.3">
      <c r="A329" s="20"/>
      <c r="B329" s="22"/>
      <c r="C329" s="22"/>
      <c r="D329" s="22"/>
      <c r="E329" s="22"/>
      <c r="F329" s="22"/>
      <c r="G329" s="22"/>
      <c r="H329" s="22"/>
      <c r="I329" s="22"/>
      <c r="J329" s="23"/>
      <c r="K329" s="373"/>
      <c r="L329" s="384"/>
      <c r="M329" s="375"/>
      <c r="N329" s="37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5.75" customHeight="1" thickTop="1" x14ac:dyDescent="0.25">
      <c r="A330" s="297" t="s">
        <v>495</v>
      </c>
      <c r="B330" s="298">
        <f t="shared" ref="B330:I330" si="208">B115+B157+B201+B213+B221+B239+B264+B303+B310+B319+B328</f>
        <v>321980.63000000006</v>
      </c>
      <c r="C330" s="298">
        <f t="shared" si="208"/>
        <v>326875.36</v>
      </c>
      <c r="D330" s="298">
        <f t="shared" si="208"/>
        <v>340577.32</v>
      </c>
      <c r="E330" s="298">
        <f t="shared" si="208"/>
        <v>336555.76</v>
      </c>
      <c r="F330" s="298">
        <f t="shared" si="208"/>
        <v>331694.74000000005</v>
      </c>
      <c r="G330" s="298">
        <f t="shared" si="208"/>
        <v>299928.1100000001</v>
      </c>
      <c r="H330" s="298">
        <f t="shared" si="208"/>
        <v>299928.1100000001</v>
      </c>
      <c r="I330" s="298">
        <f t="shared" si="208"/>
        <v>334883</v>
      </c>
      <c r="J330" s="299"/>
      <c r="K330" s="388">
        <f t="shared" ref="K330:L330" si="209">K115+K157+K201+K213+K221+K239+K264+K303+K310+K319+K328</f>
        <v>405782.05221413338</v>
      </c>
      <c r="L330" s="389">
        <f t="shared" si="209"/>
        <v>357356.61</v>
      </c>
      <c r="M330" s="390">
        <f>SUM(M328,M319,M310,M303,M264,M239,M221,M213,M201,M157,M115)</f>
        <v>376305.33517463302</v>
      </c>
      <c r="N330" s="388">
        <f>N115+N157+N201+N213+N221+N239+N264+N303+N310+N319+N328</f>
        <v>428506.89851595019</v>
      </c>
      <c r="O330" s="301"/>
      <c r="P330" s="301"/>
      <c r="Q330" s="301"/>
      <c r="R330" s="301"/>
      <c r="S330" s="301"/>
      <c r="T330" s="301"/>
      <c r="U330" s="301"/>
      <c r="V330" s="301"/>
      <c r="W330" s="301"/>
      <c r="X330" s="301"/>
      <c r="Y330" s="301"/>
      <c r="Z330" s="301"/>
      <c r="AA330" s="301"/>
      <c r="AB330" s="301"/>
      <c r="AC330" s="301"/>
      <c r="AD330" s="301"/>
      <c r="AE330" s="301"/>
    </row>
    <row r="331" spans="1:31" ht="15.75" customHeight="1" thickBot="1" x14ac:dyDescent="0.3">
      <c r="A331" s="20"/>
      <c r="B331" s="116"/>
      <c r="C331" s="116"/>
      <c r="D331" s="116"/>
      <c r="E331" s="116"/>
      <c r="F331" s="116"/>
      <c r="G331" s="116"/>
      <c r="H331" s="22"/>
      <c r="I331" s="22"/>
      <c r="J331" s="23"/>
      <c r="K331" s="373"/>
      <c r="L331" s="384"/>
      <c r="M331" s="375"/>
      <c r="N331" s="37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5.75" customHeight="1" thickTop="1" thickBot="1" x14ac:dyDescent="0.3">
      <c r="A332" s="302" t="s">
        <v>496</v>
      </c>
      <c r="B332" s="303">
        <f t="shared" ref="B332:I332" si="210">(B55)-(B330)</f>
        <v>-2411.8300000000163</v>
      </c>
      <c r="C332" s="303">
        <f t="shared" si="210"/>
        <v>-22337.979999999981</v>
      </c>
      <c r="D332" s="303">
        <f t="shared" si="210"/>
        <v>-3742.9000000000233</v>
      </c>
      <c r="E332" s="303">
        <f t="shared" si="210"/>
        <v>-5096.7699999999604</v>
      </c>
      <c r="F332" s="303">
        <f t="shared" si="210"/>
        <v>-742.69000000006054</v>
      </c>
      <c r="G332" s="303">
        <f t="shared" si="210"/>
        <v>33658.5799999999</v>
      </c>
      <c r="H332" s="303">
        <f t="shared" si="210"/>
        <v>33658.5799999999</v>
      </c>
      <c r="I332" s="303">
        <f t="shared" si="210"/>
        <v>-300</v>
      </c>
      <c r="J332" s="304"/>
      <c r="K332" s="385">
        <f t="shared" ref="K332:L332" si="211">(K55)-(K330)</f>
        <v>0.10791919997427613</v>
      </c>
      <c r="L332" s="386">
        <f t="shared" si="211"/>
        <v>19444.119999999995</v>
      </c>
      <c r="M332" s="387">
        <f>(M53)-(M330)</f>
        <v>14607.135260149604</v>
      </c>
      <c r="N332" s="385">
        <f>(N55)-(N330)</f>
        <v>-0.2282434863736853</v>
      </c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</row>
    <row r="333" spans="1:31" ht="15.75" customHeight="1" thickTop="1" x14ac:dyDescent="0.25">
      <c r="A333" s="20"/>
      <c r="B333" s="306"/>
      <c r="C333" s="306"/>
      <c r="D333" s="306"/>
      <c r="E333" s="306"/>
      <c r="F333" s="1"/>
      <c r="G333" s="306"/>
      <c r="H333" s="1"/>
      <c r="I333" s="1"/>
      <c r="J333" s="23"/>
      <c r="K333" s="1"/>
      <c r="L333" s="25"/>
      <c r="M333" s="25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23"/>
      <c r="K334" s="1"/>
      <c r="L334" s="25"/>
      <c r="M334" s="25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5.75" customHeight="1" x14ac:dyDescent="0.2">
      <c r="L335" s="307"/>
      <c r="M335" s="307"/>
      <c r="N335" s="308"/>
    </row>
    <row r="336" spans="1:31" ht="15.75" customHeight="1" x14ac:dyDescent="0.2">
      <c r="L336" s="307"/>
      <c r="M336" s="307"/>
      <c r="N336" s="308"/>
    </row>
    <row r="337" spans="12:14" ht="15.75" customHeight="1" x14ac:dyDescent="0.2">
      <c r="L337" s="307"/>
      <c r="M337" s="307"/>
      <c r="N337" s="308"/>
    </row>
    <row r="338" spans="12:14" ht="15.75" customHeight="1" x14ac:dyDescent="0.2">
      <c r="L338" s="307"/>
      <c r="M338" s="307"/>
      <c r="N338" s="308"/>
    </row>
    <row r="339" spans="12:14" ht="15.75" customHeight="1" x14ac:dyDescent="0.2">
      <c r="L339" s="307"/>
      <c r="M339" s="307"/>
      <c r="N339" s="308"/>
    </row>
    <row r="340" spans="12:14" ht="15.75" customHeight="1" x14ac:dyDescent="0.2">
      <c r="L340" s="307"/>
      <c r="M340" s="307"/>
      <c r="N340" s="308"/>
    </row>
    <row r="341" spans="12:14" ht="15.75" customHeight="1" x14ac:dyDescent="0.2">
      <c r="L341" s="307"/>
      <c r="M341" s="307"/>
      <c r="N341" s="308"/>
    </row>
    <row r="342" spans="12:14" ht="15.75" customHeight="1" x14ac:dyDescent="0.2">
      <c r="L342" s="307"/>
      <c r="M342" s="307"/>
      <c r="N342" s="308"/>
    </row>
    <row r="343" spans="12:14" ht="15.75" customHeight="1" x14ac:dyDescent="0.2">
      <c r="L343" s="307"/>
      <c r="M343" s="307"/>
      <c r="N343" s="308"/>
    </row>
    <row r="344" spans="12:14" ht="15.75" customHeight="1" x14ac:dyDescent="0.2">
      <c r="L344" s="307"/>
      <c r="M344" s="307"/>
      <c r="N344" s="308"/>
    </row>
    <row r="345" spans="12:14" ht="15.75" customHeight="1" x14ac:dyDescent="0.2">
      <c r="L345" s="307"/>
      <c r="M345" s="307"/>
      <c r="N345" s="308"/>
    </row>
    <row r="346" spans="12:14" ht="15.75" customHeight="1" x14ac:dyDescent="0.2">
      <c r="L346" s="307"/>
      <c r="M346" s="307"/>
      <c r="N346" s="308"/>
    </row>
    <row r="347" spans="12:14" ht="15.75" customHeight="1" x14ac:dyDescent="0.2">
      <c r="L347" s="307"/>
      <c r="M347" s="307"/>
      <c r="N347" s="308"/>
    </row>
    <row r="348" spans="12:14" ht="15.75" customHeight="1" x14ac:dyDescent="0.2">
      <c r="L348" s="307"/>
      <c r="M348" s="307"/>
      <c r="N348" s="308"/>
    </row>
    <row r="349" spans="12:14" ht="15.75" customHeight="1" x14ac:dyDescent="0.2">
      <c r="L349" s="307"/>
      <c r="M349" s="307"/>
      <c r="N349" s="308"/>
    </row>
    <row r="350" spans="12:14" ht="15.75" customHeight="1" x14ac:dyDescent="0.2">
      <c r="L350" s="307"/>
      <c r="M350" s="307"/>
      <c r="N350" s="308"/>
    </row>
    <row r="351" spans="12:14" ht="15.75" customHeight="1" x14ac:dyDescent="0.2">
      <c r="L351" s="307"/>
      <c r="M351" s="307"/>
      <c r="N351" s="308"/>
    </row>
    <row r="352" spans="12:14" ht="15.75" customHeight="1" x14ac:dyDescent="0.2">
      <c r="L352" s="307"/>
      <c r="M352" s="307"/>
      <c r="N352" s="308"/>
    </row>
    <row r="353" spans="12:14" ht="15.75" customHeight="1" x14ac:dyDescent="0.2">
      <c r="L353" s="307"/>
      <c r="M353" s="307"/>
      <c r="N353" s="308"/>
    </row>
    <row r="354" spans="12:14" ht="15.75" customHeight="1" x14ac:dyDescent="0.2">
      <c r="L354" s="307"/>
      <c r="M354" s="307"/>
      <c r="N354" s="308"/>
    </row>
    <row r="355" spans="12:14" ht="15.75" customHeight="1" x14ac:dyDescent="0.2">
      <c r="L355" s="307"/>
      <c r="M355" s="307"/>
      <c r="N355" s="308"/>
    </row>
    <row r="356" spans="12:14" ht="15.75" customHeight="1" x14ac:dyDescent="0.2">
      <c r="L356" s="307"/>
      <c r="M356" s="307"/>
      <c r="N356" s="308"/>
    </row>
    <row r="357" spans="12:14" ht="15.75" customHeight="1" x14ac:dyDescent="0.2">
      <c r="L357" s="307"/>
      <c r="M357" s="307"/>
      <c r="N357" s="308"/>
    </row>
    <row r="358" spans="12:14" ht="15.75" customHeight="1" x14ac:dyDescent="0.2">
      <c r="L358" s="307"/>
      <c r="M358" s="307"/>
      <c r="N358" s="308"/>
    </row>
    <row r="359" spans="12:14" ht="15.75" customHeight="1" x14ac:dyDescent="0.2">
      <c r="L359" s="307"/>
      <c r="M359" s="307"/>
      <c r="N359" s="308"/>
    </row>
    <row r="360" spans="12:14" ht="15.75" customHeight="1" x14ac:dyDescent="0.2">
      <c r="L360" s="307"/>
      <c r="M360" s="307"/>
      <c r="N360" s="308"/>
    </row>
    <row r="361" spans="12:14" ht="15.75" customHeight="1" x14ac:dyDescent="0.2">
      <c r="L361" s="307"/>
      <c r="M361" s="307"/>
      <c r="N361" s="308"/>
    </row>
    <row r="362" spans="12:14" ht="15.75" customHeight="1" x14ac:dyDescent="0.2">
      <c r="L362" s="307"/>
      <c r="M362" s="307"/>
      <c r="N362" s="308"/>
    </row>
    <row r="363" spans="12:14" ht="15.75" customHeight="1" x14ac:dyDescent="0.2">
      <c r="L363" s="307"/>
      <c r="M363" s="307"/>
      <c r="N363" s="308"/>
    </row>
    <row r="364" spans="12:14" ht="15.75" customHeight="1" x14ac:dyDescent="0.2">
      <c r="L364" s="307"/>
      <c r="M364" s="307"/>
      <c r="N364" s="308"/>
    </row>
    <row r="365" spans="12:14" ht="15.75" customHeight="1" x14ac:dyDescent="0.2">
      <c r="L365" s="307"/>
      <c r="M365" s="307"/>
      <c r="N365" s="308"/>
    </row>
    <row r="366" spans="12:14" ht="15.75" customHeight="1" x14ac:dyDescent="0.2">
      <c r="L366" s="307"/>
      <c r="M366" s="307"/>
      <c r="N366" s="308"/>
    </row>
    <row r="367" spans="12:14" ht="15.75" customHeight="1" x14ac:dyDescent="0.2">
      <c r="L367" s="307"/>
      <c r="M367" s="307"/>
      <c r="N367" s="308"/>
    </row>
    <row r="368" spans="12:14" ht="15.75" customHeight="1" x14ac:dyDescent="0.2">
      <c r="L368" s="307"/>
      <c r="M368" s="307"/>
      <c r="N368" s="308"/>
    </row>
    <row r="369" spans="12:14" ht="15.75" customHeight="1" x14ac:dyDescent="0.2">
      <c r="L369" s="307"/>
      <c r="M369" s="307"/>
      <c r="N369" s="308"/>
    </row>
    <row r="370" spans="12:14" ht="15.75" customHeight="1" x14ac:dyDescent="0.2">
      <c r="L370" s="307"/>
      <c r="M370" s="307"/>
      <c r="N370" s="308"/>
    </row>
    <row r="371" spans="12:14" ht="15.75" customHeight="1" x14ac:dyDescent="0.2">
      <c r="L371" s="307"/>
      <c r="M371" s="307"/>
      <c r="N371" s="308"/>
    </row>
    <row r="372" spans="12:14" ht="15.75" customHeight="1" x14ac:dyDescent="0.2">
      <c r="L372" s="307"/>
      <c r="M372" s="307"/>
      <c r="N372" s="308"/>
    </row>
    <row r="373" spans="12:14" ht="15.75" customHeight="1" x14ac:dyDescent="0.2">
      <c r="L373" s="307"/>
      <c r="M373" s="307"/>
      <c r="N373" s="308"/>
    </row>
    <row r="374" spans="12:14" ht="15.75" customHeight="1" x14ac:dyDescent="0.2">
      <c r="L374" s="307"/>
      <c r="M374" s="307"/>
      <c r="N374" s="308"/>
    </row>
    <row r="375" spans="12:14" ht="15.75" customHeight="1" x14ac:dyDescent="0.2">
      <c r="L375" s="307"/>
      <c r="M375" s="307"/>
      <c r="N375" s="308"/>
    </row>
    <row r="376" spans="12:14" ht="15.75" customHeight="1" x14ac:dyDescent="0.2">
      <c r="L376" s="307"/>
      <c r="M376" s="307"/>
      <c r="N376" s="308"/>
    </row>
    <row r="377" spans="12:14" ht="15.75" customHeight="1" x14ac:dyDescent="0.2">
      <c r="L377" s="307"/>
      <c r="M377" s="307"/>
      <c r="N377" s="308"/>
    </row>
    <row r="378" spans="12:14" ht="15.75" customHeight="1" x14ac:dyDescent="0.2">
      <c r="L378" s="307"/>
      <c r="M378" s="307"/>
      <c r="N378" s="308"/>
    </row>
    <row r="379" spans="12:14" ht="15.75" customHeight="1" x14ac:dyDescent="0.2">
      <c r="L379" s="307"/>
      <c r="M379" s="307"/>
      <c r="N379" s="308"/>
    </row>
    <row r="380" spans="12:14" ht="15.75" customHeight="1" x14ac:dyDescent="0.2">
      <c r="L380" s="307"/>
      <c r="M380" s="307"/>
      <c r="N380" s="308"/>
    </row>
    <row r="381" spans="12:14" ht="15.75" customHeight="1" x14ac:dyDescent="0.2">
      <c r="L381" s="307"/>
      <c r="M381" s="307"/>
      <c r="N381" s="308"/>
    </row>
    <row r="382" spans="12:14" ht="15.75" customHeight="1" x14ac:dyDescent="0.2">
      <c r="L382" s="307"/>
      <c r="M382" s="307"/>
      <c r="N382" s="308"/>
    </row>
    <row r="383" spans="12:14" ht="15.75" customHeight="1" x14ac:dyDescent="0.2">
      <c r="L383" s="307"/>
      <c r="M383" s="307"/>
      <c r="N383" s="308"/>
    </row>
    <row r="384" spans="12:14" ht="15.75" customHeight="1" x14ac:dyDescent="0.2">
      <c r="L384" s="307"/>
      <c r="M384" s="307"/>
      <c r="N384" s="308"/>
    </row>
    <row r="385" spans="12:14" ht="15.75" customHeight="1" x14ac:dyDescent="0.2">
      <c r="L385" s="307"/>
      <c r="M385" s="307"/>
      <c r="N385" s="308"/>
    </row>
    <row r="386" spans="12:14" ht="15.75" customHeight="1" x14ac:dyDescent="0.2">
      <c r="L386" s="307"/>
      <c r="M386" s="307"/>
      <c r="N386" s="308"/>
    </row>
    <row r="387" spans="12:14" ht="15.75" customHeight="1" x14ac:dyDescent="0.2">
      <c r="L387" s="307"/>
      <c r="M387" s="307"/>
      <c r="N387" s="308"/>
    </row>
    <row r="388" spans="12:14" ht="15.75" customHeight="1" x14ac:dyDescent="0.2">
      <c r="L388" s="307"/>
      <c r="M388" s="307"/>
      <c r="N388" s="308"/>
    </row>
    <row r="389" spans="12:14" ht="15.75" customHeight="1" x14ac:dyDescent="0.2">
      <c r="L389" s="307"/>
      <c r="M389" s="307"/>
      <c r="N389" s="308"/>
    </row>
    <row r="390" spans="12:14" ht="15.75" customHeight="1" x14ac:dyDescent="0.2">
      <c r="L390" s="307"/>
      <c r="M390" s="307"/>
      <c r="N390" s="308"/>
    </row>
    <row r="391" spans="12:14" ht="15.75" customHeight="1" x14ac:dyDescent="0.2">
      <c r="L391" s="307"/>
      <c r="M391" s="307"/>
      <c r="N391" s="308"/>
    </row>
    <row r="392" spans="12:14" ht="15.75" customHeight="1" x14ac:dyDescent="0.2">
      <c r="L392" s="307"/>
      <c r="M392" s="307"/>
      <c r="N392" s="308"/>
    </row>
    <row r="393" spans="12:14" ht="15.75" customHeight="1" x14ac:dyDescent="0.2">
      <c r="L393" s="307"/>
      <c r="M393" s="307"/>
      <c r="N393" s="308"/>
    </row>
    <row r="394" spans="12:14" ht="15.75" customHeight="1" x14ac:dyDescent="0.2">
      <c r="L394" s="307"/>
      <c r="M394" s="307"/>
      <c r="N394" s="308"/>
    </row>
    <row r="395" spans="12:14" ht="15.75" customHeight="1" x14ac:dyDescent="0.2">
      <c r="L395" s="307"/>
      <c r="M395" s="307"/>
      <c r="N395" s="308"/>
    </row>
    <row r="396" spans="12:14" ht="15.75" customHeight="1" x14ac:dyDescent="0.2">
      <c r="L396" s="307"/>
      <c r="M396" s="307"/>
      <c r="N396" s="308"/>
    </row>
    <row r="397" spans="12:14" ht="15.75" customHeight="1" x14ac:dyDescent="0.2">
      <c r="L397" s="307"/>
      <c r="M397" s="307"/>
      <c r="N397" s="308"/>
    </row>
    <row r="398" spans="12:14" ht="15.75" customHeight="1" x14ac:dyDescent="0.2">
      <c r="L398" s="307"/>
      <c r="M398" s="307"/>
      <c r="N398" s="308"/>
    </row>
    <row r="399" spans="12:14" ht="15.75" customHeight="1" x14ac:dyDescent="0.2">
      <c r="L399" s="307"/>
      <c r="M399" s="307"/>
      <c r="N399" s="308"/>
    </row>
    <row r="400" spans="12:14" ht="15.75" customHeight="1" x14ac:dyDescent="0.2">
      <c r="L400" s="307"/>
      <c r="M400" s="307"/>
      <c r="N400" s="308"/>
    </row>
    <row r="401" spans="12:14" ht="15.75" customHeight="1" x14ac:dyDescent="0.2">
      <c r="L401" s="307"/>
      <c r="M401" s="307"/>
      <c r="N401" s="308"/>
    </row>
    <row r="402" spans="12:14" ht="15.75" customHeight="1" x14ac:dyDescent="0.2">
      <c r="L402" s="307"/>
      <c r="M402" s="307"/>
      <c r="N402" s="308"/>
    </row>
    <row r="403" spans="12:14" ht="15.75" customHeight="1" x14ac:dyDescent="0.2">
      <c r="L403" s="307"/>
      <c r="M403" s="307"/>
      <c r="N403" s="308"/>
    </row>
    <row r="404" spans="12:14" ht="15.75" customHeight="1" x14ac:dyDescent="0.2">
      <c r="L404" s="307"/>
      <c r="M404" s="307"/>
      <c r="N404" s="308"/>
    </row>
    <row r="405" spans="12:14" ht="15.75" customHeight="1" x14ac:dyDescent="0.2">
      <c r="L405" s="307"/>
      <c r="M405" s="307"/>
      <c r="N405" s="308"/>
    </row>
    <row r="406" spans="12:14" ht="15.75" customHeight="1" x14ac:dyDescent="0.2">
      <c r="L406" s="307"/>
      <c r="M406" s="307"/>
      <c r="N406" s="308"/>
    </row>
    <row r="407" spans="12:14" ht="15.75" customHeight="1" x14ac:dyDescent="0.2">
      <c r="L407" s="307"/>
      <c r="M407" s="307"/>
      <c r="N407" s="308"/>
    </row>
    <row r="408" spans="12:14" ht="15.75" customHeight="1" x14ac:dyDescent="0.2">
      <c r="L408" s="307"/>
      <c r="M408" s="307"/>
      <c r="N408" s="308"/>
    </row>
    <row r="409" spans="12:14" ht="15.75" customHeight="1" x14ac:dyDescent="0.2">
      <c r="L409" s="307"/>
      <c r="M409" s="307"/>
      <c r="N409" s="308"/>
    </row>
    <row r="410" spans="12:14" ht="15.75" customHeight="1" x14ac:dyDescent="0.2">
      <c r="L410" s="307"/>
      <c r="M410" s="307"/>
      <c r="N410" s="308"/>
    </row>
    <row r="411" spans="12:14" ht="15.75" customHeight="1" x14ac:dyDescent="0.2">
      <c r="L411" s="307"/>
      <c r="M411" s="307"/>
      <c r="N411" s="308"/>
    </row>
    <row r="412" spans="12:14" ht="15.75" customHeight="1" x14ac:dyDescent="0.2">
      <c r="L412" s="307"/>
      <c r="M412" s="307"/>
      <c r="N412" s="308"/>
    </row>
    <row r="413" spans="12:14" ht="15.75" customHeight="1" x14ac:dyDescent="0.2">
      <c r="L413" s="307"/>
      <c r="M413" s="307"/>
      <c r="N413" s="308"/>
    </row>
    <row r="414" spans="12:14" ht="15.75" customHeight="1" x14ac:dyDescent="0.2">
      <c r="L414" s="307"/>
      <c r="M414" s="307"/>
      <c r="N414" s="308"/>
    </row>
    <row r="415" spans="12:14" ht="15.75" customHeight="1" x14ac:dyDescent="0.2">
      <c r="L415" s="307"/>
      <c r="M415" s="307"/>
      <c r="N415" s="308"/>
    </row>
    <row r="416" spans="12:14" ht="15.75" customHeight="1" x14ac:dyDescent="0.2">
      <c r="L416" s="307"/>
      <c r="M416" s="307"/>
      <c r="N416" s="308"/>
    </row>
    <row r="417" spans="12:14" ht="15.75" customHeight="1" x14ac:dyDescent="0.2">
      <c r="L417" s="307"/>
      <c r="M417" s="307"/>
      <c r="N417" s="308"/>
    </row>
    <row r="418" spans="12:14" ht="15.75" customHeight="1" x14ac:dyDescent="0.2">
      <c r="L418" s="307"/>
      <c r="M418" s="307"/>
      <c r="N418" s="308"/>
    </row>
    <row r="419" spans="12:14" ht="15.75" customHeight="1" x14ac:dyDescent="0.2">
      <c r="L419" s="307"/>
      <c r="M419" s="307"/>
      <c r="N419" s="308"/>
    </row>
    <row r="420" spans="12:14" ht="15.75" customHeight="1" x14ac:dyDescent="0.2">
      <c r="L420" s="307"/>
      <c r="M420" s="307"/>
      <c r="N420" s="308"/>
    </row>
    <row r="421" spans="12:14" ht="15.75" customHeight="1" x14ac:dyDescent="0.2">
      <c r="L421" s="307"/>
      <c r="M421" s="307"/>
      <c r="N421" s="308"/>
    </row>
    <row r="422" spans="12:14" ht="15.75" customHeight="1" x14ac:dyDescent="0.2">
      <c r="L422" s="307"/>
      <c r="M422" s="307"/>
      <c r="N422" s="308"/>
    </row>
    <row r="423" spans="12:14" ht="15.75" customHeight="1" x14ac:dyDescent="0.2">
      <c r="L423" s="307"/>
      <c r="M423" s="307"/>
      <c r="N423" s="308"/>
    </row>
    <row r="424" spans="12:14" ht="15.75" customHeight="1" x14ac:dyDescent="0.2">
      <c r="L424" s="307"/>
      <c r="M424" s="307"/>
      <c r="N424" s="308"/>
    </row>
    <row r="425" spans="12:14" ht="15.75" customHeight="1" x14ac:dyDescent="0.2">
      <c r="L425" s="307"/>
      <c r="M425" s="307"/>
      <c r="N425" s="308"/>
    </row>
    <row r="426" spans="12:14" ht="15.75" customHeight="1" x14ac:dyDescent="0.2">
      <c r="L426" s="307"/>
      <c r="M426" s="307"/>
      <c r="N426" s="308"/>
    </row>
    <row r="427" spans="12:14" ht="15.75" customHeight="1" x14ac:dyDescent="0.2">
      <c r="L427" s="307"/>
      <c r="M427" s="307"/>
      <c r="N427" s="308"/>
    </row>
    <row r="428" spans="12:14" ht="15.75" customHeight="1" x14ac:dyDescent="0.2">
      <c r="L428" s="307"/>
      <c r="M428" s="307"/>
      <c r="N428" s="308"/>
    </row>
    <row r="429" spans="12:14" ht="15.75" customHeight="1" x14ac:dyDescent="0.2">
      <c r="L429" s="307"/>
      <c r="M429" s="307"/>
      <c r="N429" s="308"/>
    </row>
    <row r="430" spans="12:14" ht="15.75" customHeight="1" x14ac:dyDescent="0.2">
      <c r="L430" s="307"/>
      <c r="M430" s="307"/>
      <c r="N430" s="308"/>
    </row>
    <row r="431" spans="12:14" ht="15.75" customHeight="1" x14ac:dyDescent="0.2">
      <c r="L431" s="307"/>
      <c r="M431" s="307"/>
      <c r="N431" s="308"/>
    </row>
    <row r="432" spans="12:14" ht="15.75" customHeight="1" x14ac:dyDescent="0.2">
      <c r="L432" s="307"/>
      <c r="M432" s="307"/>
      <c r="N432" s="308"/>
    </row>
    <row r="433" spans="12:14" ht="15.75" customHeight="1" x14ac:dyDescent="0.2">
      <c r="L433" s="307"/>
      <c r="M433" s="307"/>
      <c r="N433" s="308"/>
    </row>
    <row r="434" spans="12:14" ht="15.75" customHeight="1" x14ac:dyDescent="0.2">
      <c r="L434" s="307"/>
      <c r="M434" s="307"/>
      <c r="N434" s="308"/>
    </row>
    <row r="435" spans="12:14" ht="15.75" customHeight="1" x14ac:dyDescent="0.2">
      <c r="L435" s="307"/>
      <c r="M435" s="307"/>
      <c r="N435" s="308"/>
    </row>
    <row r="436" spans="12:14" ht="15.75" customHeight="1" x14ac:dyDescent="0.2">
      <c r="L436" s="307"/>
      <c r="M436" s="307"/>
      <c r="N436" s="308"/>
    </row>
    <row r="437" spans="12:14" ht="15.75" customHeight="1" x14ac:dyDescent="0.2">
      <c r="L437" s="307"/>
      <c r="M437" s="307"/>
      <c r="N437" s="308"/>
    </row>
    <row r="438" spans="12:14" ht="15.75" customHeight="1" x14ac:dyDescent="0.2">
      <c r="L438" s="307"/>
      <c r="M438" s="307"/>
      <c r="N438" s="308"/>
    </row>
    <row r="439" spans="12:14" ht="15.75" customHeight="1" x14ac:dyDescent="0.2">
      <c r="L439" s="307"/>
      <c r="M439" s="307"/>
      <c r="N439" s="308"/>
    </row>
    <row r="440" spans="12:14" ht="15.75" customHeight="1" x14ac:dyDescent="0.2">
      <c r="L440" s="307"/>
      <c r="M440" s="307"/>
      <c r="N440" s="308"/>
    </row>
    <row r="441" spans="12:14" ht="15.75" customHeight="1" x14ac:dyDescent="0.2">
      <c r="L441" s="307"/>
      <c r="M441" s="307"/>
      <c r="N441" s="308"/>
    </row>
    <row r="442" spans="12:14" ht="15.75" customHeight="1" x14ac:dyDescent="0.2">
      <c r="L442" s="307"/>
      <c r="M442" s="307"/>
      <c r="N442" s="308"/>
    </row>
    <row r="443" spans="12:14" ht="15.75" customHeight="1" x14ac:dyDescent="0.2">
      <c r="L443" s="307"/>
      <c r="M443" s="307"/>
      <c r="N443" s="308"/>
    </row>
    <row r="444" spans="12:14" ht="15.75" customHeight="1" x14ac:dyDescent="0.2">
      <c r="L444" s="307"/>
      <c r="M444" s="307"/>
      <c r="N444" s="308"/>
    </row>
    <row r="445" spans="12:14" ht="15.75" customHeight="1" x14ac:dyDescent="0.2">
      <c r="L445" s="307"/>
      <c r="M445" s="307"/>
      <c r="N445" s="308"/>
    </row>
    <row r="446" spans="12:14" ht="15.75" customHeight="1" x14ac:dyDescent="0.2">
      <c r="L446" s="307"/>
      <c r="M446" s="307"/>
      <c r="N446" s="308"/>
    </row>
    <row r="447" spans="12:14" ht="15.75" customHeight="1" x14ac:dyDescent="0.2">
      <c r="L447" s="307"/>
      <c r="M447" s="307"/>
      <c r="N447" s="308"/>
    </row>
    <row r="448" spans="12:14" ht="15.75" customHeight="1" x14ac:dyDescent="0.2">
      <c r="L448" s="307"/>
      <c r="M448" s="307"/>
      <c r="N448" s="308"/>
    </row>
    <row r="449" spans="12:14" ht="15.75" customHeight="1" x14ac:dyDescent="0.2">
      <c r="L449" s="307"/>
      <c r="M449" s="307"/>
      <c r="N449" s="308"/>
    </row>
    <row r="450" spans="12:14" ht="15.75" customHeight="1" x14ac:dyDescent="0.2">
      <c r="L450" s="307"/>
      <c r="M450" s="307"/>
      <c r="N450" s="308"/>
    </row>
    <row r="451" spans="12:14" ht="15.75" customHeight="1" x14ac:dyDescent="0.2">
      <c r="L451" s="307"/>
      <c r="M451" s="307"/>
      <c r="N451" s="308"/>
    </row>
    <row r="452" spans="12:14" ht="15.75" customHeight="1" x14ac:dyDescent="0.2">
      <c r="L452" s="307"/>
      <c r="M452" s="307"/>
      <c r="N452" s="308"/>
    </row>
    <row r="453" spans="12:14" ht="15.75" customHeight="1" x14ac:dyDescent="0.2">
      <c r="L453" s="307"/>
      <c r="M453" s="307"/>
      <c r="N453" s="308"/>
    </row>
    <row r="454" spans="12:14" ht="15.75" customHeight="1" x14ac:dyDescent="0.2">
      <c r="L454" s="307"/>
      <c r="M454" s="307"/>
      <c r="N454" s="308"/>
    </row>
    <row r="455" spans="12:14" ht="15.75" customHeight="1" x14ac:dyDescent="0.2">
      <c r="L455" s="307"/>
      <c r="M455" s="307"/>
      <c r="N455" s="308"/>
    </row>
    <row r="456" spans="12:14" ht="15.75" customHeight="1" x14ac:dyDescent="0.2">
      <c r="L456" s="307"/>
      <c r="M456" s="307"/>
      <c r="N456" s="308"/>
    </row>
    <row r="457" spans="12:14" ht="15.75" customHeight="1" x14ac:dyDescent="0.2">
      <c r="L457" s="307"/>
      <c r="M457" s="307"/>
      <c r="N457" s="308"/>
    </row>
    <row r="458" spans="12:14" ht="15.75" customHeight="1" x14ac:dyDescent="0.2">
      <c r="L458" s="307"/>
      <c r="M458" s="307"/>
      <c r="N458" s="308"/>
    </row>
    <row r="459" spans="12:14" ht="15.75" customHeight="1" x14ac:dyDescent="0.2">
      <c r="L459" s="307"/>
      <c r="M459" s="307"/>
      <c r="N459" s="308"/>
    </row>
    <row r="460" spans="12:14" ht="15.75" customHeight="1" x14ac:dyDescent="0.2">
      <c r="L460" s="307"/>
      <c r="M460" s="307"/>
      <c r="N460" s="308"/>
    </row>
    <row r="461" spans="12:14" ht="15.75" customHeight="1" x14ac:dyDescent="0.2">
      <c r="L461" s="307"/>
      <c r="M461" s="307"/>
      <c r="N461" s="308"/>
    </row>
    <row r="462" spans="12:14" ht="15.75" customHeight="1" x14ac:dyDescent="0.2">
      <c r="L462" s="307"/>
      <c r="M462" s="307"/>
      <c r="N462" s="308"/>
    </row>
    <row r="463" spans="12:14" ht="15.75" customHeight="1" x14ac:dyDescent="0.2">
      <c r="L463" s="307"/>
      <c r="M463" s="307"/>
      <c r="N463" s="308"/>
    </row>
    <row r="464" spans="12:14" ht="15.75" customHeight="1" x14ac:dyDescent="0.2">
      <c r="L464" s="307"/>
      <c r="M464" s="307"/>
      <c r="N464" s="308"/>
    </row>
    <row r="465" spans="12:14" ht="15.75" customHeight="1" x14ac:dyDescent="0.2">
      <c r="L465" s="307"/>
      <c r="M465" s="307"/>
      <c r="N465" s="308"/>
    </row>
    <row r="466" spans="12:14" ht="15.75" customHeight="1" x14ac:dyDescent="0.2">
      <c r="L466" s="307"/>
      <c r="M466" s="307"/>
      <c r="N466" s="308"/>
    </row>
    <row r="467" spans="12:14" ht="15.75" customHeight="1" x14ac:dyDescent="0.2">
      <c r="L467" s="307"/>
      <c r="M467" s="307"/>
      <c r="N467" s="308"/>
    </row>
    <row r="468" spans="12:14" ht="15.75" customHeight="1" x14ac:dyDescent="0.2">
      <c r="L468" s="307"/>
      <c r="M468" s="307"/>
      <c r="N468" s="308"/>
    </row>
    <row r="469" spans="12:14" ht="15.75" customHeight="1" x14ac:dyDescent="0.2">
      <c r="L469" s="307"/>
      <c r="M469" s="307"/>
      <c r="N469" s="308"/>
    </row>
    <row r="470" spans="12:14" ht="15.75" customHeight="1" x14ac:dyDescent="0.2">
      <c r="L470" s="307"/>
      <c r="M470" s="307"/>
      <c r="N470" s="308"/>
    </row>
    <row r="471" spans="12:14" ht="15.75" customHeight="1" x14ac:dyDescent="0.2">
      <c r="L471" s="307"/>
      <c r="M471" s="307"/>
      <c r="N471" s="308"/>
    </row>
    <row r="472" spans="12:14" ht="15.75" customHeight="1" x14ac:dyDescent="0.2">
      <c r="L472" s="307"/>
      <c r="M472" s="307"/>
      <c r="N472" s="308"/>
    </row>
    <row r="473" spans="12:14" ht="15.75" customHeight="1" x14ac:dyDescent="0.2">
      <c r="L473" s="307"/>
      <c r="M473" s="307"/>
      <c r="N473" s="308"/>
    </row>
    <row r="474" spans="12:14" ht="15.75" customHeight="1" x14ac:dyDescent="0.2">
      <c r="L474" s="307"/>
      <c r="M474" s="307"/>
      <c r="N474" s="308"/>
    </row>
    <row r="475" spans="12:14" ht="15.75" customHeight="1" x14ac:dyDescent="0.2">
      <c r="L475" s="307"/>
      <c r="M475" s="307"/>
      <c r="N475" s="308"/>
    </row>
    <row r="476" spans="12:14" ht="15.75" customHeight="1" x14ac:dyDescent="0.2">
      <c r="L476" s="307"/>
      <c r="M476" s="307"/>
      <c r="N476" s="308"/>
    </row>
    <row r="477" spans="12:14" ht="15.75" customHeight="1" x14ac:dyDescent="0.2">
      <c r="L477" s="307"/>
      <c r="M477" s="307"/>
      <c r="N477" s="308"/>
    </row>
    <row r="478" spans="12:14" ht="15.75" customHeight="1" x14ac:dyDescent="0.2">
      <c r="L478" s="307"/>
      <c r="M478" s="307"/>
      <c r="N478" s="308"/>
    </row>
    <row r="479" spans="12:14" ht="15.75" customHeight="1" x14ac:dyDescent="0.2">
      <c r="L479" s="307"/>
      <c r="M479" s="307"/>
      <c r="N479" s="308"/>
    </row>
    <row r="480" spans="12:14" ht="15.75" customHeight="1" x14ac:dyDescent="0.2">
      <c r="L480" s="307"/>
      <c r="M480" s="307"/>
      <c r="N480" s="308"/>
    </row>
    <row r="481" spans="12:14" ht="15.75" customHeight="1" x14ac:dyDescent="0.2">
      <c r="L481" s="307"/>
      <c r="M481" s="307"/>
      <c r="N481" s="308"/>
    </row>
    <row r="482" spans="12:14" ht="15.75" customHeight="1" x14ac:dyDescent="0.2">
      <c r="L482" s="307"/>
      <c r="M482" s="307"/>
      <c r="N482" s="308"/>
    </row>
    <row r="483" spans="12:14" ht="15.75" customHeight="1" x14ac:dyDescent="0.2">
      <c r="L483" s="307"/>
      <c r="M483" s="307"/>
      <c r="N483" s="308"/>
    </row>
    <row r="484" spans="12:14" ht="15.75" customHeight="1" x14ac:dyDescent="0.2">
      <c r="L484" s="307"/>
      <c r="M484" s="307"/>
      <c r="N484" s="308"/>
    </row>
    <row r="485" spans="12:14" ht="15.75" customHeight="1" x14ac:dyDescent="0.2">
      <c r="L485" s="307"/>
      <c r="M485" s="307"/>
      <c r="N485" s="308"/>
    </row>
    <row r="486" spans="12:14" ht="15.75" customHeight="1" x14ac:dyDescent="0.2">
      <c r="L486" s="307"/>
      <c r="M486" s="307"/>
      <c r="N486" s="308"/>
    </row>
    <row r="487" spans="12:14" ht="15.75" customHeight="1" x14ac:dyDescent="0.2">
      <c r="L487" s="307"/>
      <c r="M487" s="307"/>
      <c r="N487" s="308"/>
    </row>
    <row r="488" spans="12:14" ht="15.75" customHeight="1" x14ac:dyDescent="0.2">
      <c r="L488" s="307"/>
      <c r="M488" s="307"/>
      <c r="N488" s="308"/>
    </row>
    <row r="489" spans="12:14" ht="15.75" customHeight="1" x14ac:dyDescent="0.2">
      <c r="L489" s="307"/>
      <c r="M489" s="307"/>
      <c r="N489" s="308"/>
    </row>
    <row r="490" spans="12:14" ht="15.75" customHeight="1" x14ac:dyDescent="0.2">
      <c r="L490" s="307"/>
      <c r="M490" s="307"/>
      <c r="N490" s="308"/>
    </row>
    <row r="491" spans="12:14" ht="15.75" customHeight="1" x14ac:dyDescent="0.2">
      <c r="L491" s="307"/>
      <c r="M491" s="307"/>
      <c r="N491" s="308"/>
    </row>
    <row r="492" spans="12:14" ht="15.75" customHeight="1" x14ac:dyDescent="0.2">
      <c r="L492" s="307"/>
      <c r="M492" s="307"/>
      <c r="N492" s="308"/>
    </row>
    <row r="493" spans="12:14" ht="15.75" customHeight="1" x14ac:dyDescent="0.2">
      <c r="L493" s="307"/>
      <c r="M493" s="307"/>
      <c r="N493" s="308"/>
    </row>
    <row r="494" spans="12:14" ht="15.75" customHeight="1" x14ac:dyDescent="0.2">
      <c r="L494" s="307"/>
      <c r="M494" s="307"/>
      <c r="N494" s="308"/>
    </row>
    <row r="495" spans="12:14" ht="15.75" customHeight="1" x14ac:dyDescent="0.2">
      <c r="L495" s="307"/>
      <c r="M495" s="307"/>
      <c r="N495" s="308"/>
    </row>
    <row r="496" spans="12:14" ht="15.75" customHeight="1" x14ac:dyDescent="0.2">
      <c r="L496" s="307"/>
      <c r="M496" s="307"/>
      <c r="N496" s="308"/>
    </row>
    <row r="497" spans="12:14" ht="15.75" customHeight="1" x14ac:dyDescent="0.2">
      <c r="L497" s="307"/>
      <c r="M497" s="307"/>
      <c r="N497" s="308"/>
    </row>
    <row r="498" spans="12:14" ht="15.75" customHeight="1" x14ac:dyDescent="0.2">
      <c r="L498" s="307"/>
      <c r="M498" s="307"/>
      <c r="N498" s="308"/>
    </row>
    <row r="499" spans="12:14" ht="15.75" customHeight="1" x14ac:dyDescent="0.2">
      <c r="L499" s="307"/>
      <c r="M499" s="307"/>
      <c r="N499" s="308"/>
    </row>
    <row r="500" spans="12:14" ht="15.75" customHeight="1" x14ac:dyDescent="0.2">
      <c r="L500" s="307"/>
      <c r="M500" s="307"/>
      <c r="N500" s="308"/>
    </row>
    <row r="501" spans="12:14" ht="15.75" customHeight="1" x14ac:dyDescent="0.2">
      <c r="L501" s="307"/>
      <c r="M501" s="307"/>
      <c r="N501" s="308"/>
    </row>
    <row r="502" spans="12:14" ht="15.75" customHeight="1" x14ac:dyDescent="0.2">
      <c r="L502" s="307"/>
      <c r="M502" s="307"/>
      <c r="N502" s="308"/>
    </row>
    <row r="503" spans="12:14" ht="15.75" customHeight="1" x14ac:dyDescent="0.2">
      <c r="L503" s="307"/>
      <c r="M503" s="307"/>
      <c r="N503" s="308"/>
    </row>
    <row r="504" spans="12:14" ht="15.75" customHeight="1" x14ac:dyDescent="0.2">
      <c r="L504" s="307"/>
      <c r="M504" s="307"/>
      <c r="N504" s="308"/>
    </row>
    <row r="505" spans="12:14" ht="15.75" customHeight="1" x14ac:dyDescent="0.2">
      <c r="L505" s="307"/>
      <c r="M505" s="307"/>
      <c r="N505" s="308"/>
    </row>
    <row r="506" spans="12:14" ht="15.75" customHeight="1" x14ac:dyDescent="0.2">
      <c r="L506" s="307"/>
      <c r="M506" s="307"/>
      <c r="N506" s="308"/>
    </row>
    <row r="507" spans="12:14" ht="15.75" customHeight="1" x14ac:dyDescent="0.2">
      <c r="L507" s="307"/>
      <c r="M507" s="307"/>
      <c r="N507" s="308"/>
    </row>
    <row r="508" spans="12:14" ht="15.75" customHeight="1" x14ac:dyDescent="0.2">
      <c r="L508" s="307"/>
      <c r="M508" s="307"/>
      <c r="N508" s="308"/>
    </row>
    <row r="509" spans="12:14" ht="15.75" customHeight="1" x14ac:dyDescent="0.2">
      <c r="L509" s="307"/>
      <c r="M509" s="307"/>
      <c r="N509" s="308"/>
    </row>
    <row r="510" spans="12:14" ht="15.75" customHeight="1" x14ac:dyDescent="0.2">
      <c r="L510" s="307"/>
      <c r="M510" s="307"/>
      <c r="N510" s="308"/>
    </row>
    <row r="511" spans="12:14" ht="15.75" customHeight="1" x14ac:dyDescent="0.2">
      <c r="L511" s="307"/>
      <c r="M511" s="307"/>
      <c r="N511" s="308"/>
    </row>
    <row r="512" spans="12:14" ht="15.75" customHeight="1" x14ac:dyDescent="0.2">
      <c r="L512" s="307"/>
      <c r="M512" s="307"/>
      <c r="N512" s="308"/>
    </row>
    <row r="513" spans="12:14" ht="15.75" customHeight="1" x14ac:dyDescent="0.2">
      <c r="L513" s="307"/>
      <c r="M513" s="307"/>
      <c r="N513" s="308"/>
    </row>
    <row r="514" spans="12:14" ht="15.75" customHeight="1" x14ac:dyDescent="0.2">
      <c r="L514" s="307"/>
      <c r="M514" s="307"/>
      <c r="N514" s="308"/>
    </row>
    <row r="515" spans="12:14" ht="15.75" customHeight="1" x14ac:dyDescent="0.2">
      <c r="L515" s="307"/>
      <c r="M515" s="307"/>
      <c r="N515" s="308"/>
    </row>
    <row r="516" spans="12:14" ht="15.75" customHeight="1" x14ac:dyDescent="0.2">
      <c r="L516" s="307"/>
      <c r="M516" s="307"/>
      <c r="N516" s="308"/>
    </row>
    <row r="517" spans="12:14" ht="15.75" customHeight="1" x14ac:dyDescent="0.2">
      <c r="L517" s="307"/>
      <c r="M517" s="307"/>
      <c r="N517" s="308"/>
    </row>
    <row r="518" spans="12:14" ht="15.75" customHeight="1" x14ac:dyDescent="0.2">
      <c r="L518" s="307"/>
      <c r="M518" s="307"/>
      <c r="N518" s="308"/>
    </row>
    <row r="519" spans="12:14" ht="15.75" customHeight="1" x14ac:dyDescent="0.2">
      <c r="L519" s="307"/>
      <c r="M519" s="307"/>
      <c r="N519" s="308"/>
    </row>
    <row r="520" spans="12:14" ht="15.75" customHeight="1" x14ac:dyDescent="0.2">
      <c r="L520" s="307"/>
      <c r="M520" s="307"/>
      <c r="N520" s="308"/>
    </row>
    <row r="521" spans="12:14" ht="15.75" customHeight="1" x14ac:dyDescent="0.2">
      <c r="L521" s="307"/>
      <c r="M521" s="307"/>
      <c r="N521" s="308"/>
    </row>
    <row r="522" spans="12:14" ht="15.75" customHeight="1" x14ac:dyDescent="0.2">
      <c r="L522" s="307"/>
      <c r="M522" s="307"/>
      <c r="N522" s="308"/>
    </row>
    <row r="523" spans="12:14" ht="15.75" customHeight="1" x14ac:dyDescent="0.2">
      <c r="L523" s="307"/>
      <c r="M523" s="307"/>
      <c r="N523" s="308"/>
    </row>
    <row r="524" spans="12:14" ht="15.75" customHeight="1" x14ac:dyDescent="0.2">
      <c r="L524" s="307"/>
      <c r="M524" s="307"/>
      <c r="N524" s="308"/>
    </row>
    <row r="525" spans="12:14" ht="15.75" customHeight="1" x14ac:dyDescent="0.2">
      <c r="L525" s="307"/>
      <c r="M525" s="307"/>
      <c r="N525" s="308"/>
    </row>
    <row r="526" spans="12:14" ht="15.75" customHeight="1" x14ac:dyDescent="0.2">
      <c r="L526" s="307"/>
      <c r="M526" s="307"/>
      <c r="N526" s="308"/>
    </row>
    <row r="527" spans="12:14" ht="15.75" customHeight="1" x14ac:dyDescent="0.2">
      <c r="L527" s="307"/>
      <c r="M527" s="307"/>
      <c r="N527" s="308"/>
    </row>
    <row r="528" spans="12:14" ht="15.75" customHeight="1" x14ac:dyDescent="0.2">
      <c r="L528" s="307"/>
      <c r="M528" s="307"/>
      <c r="N528" s="308"/>
    </row>
    <row r="529" spans="12:14" ht="15.75" customHeight="1" x14ac:dyDescent="0.2">
      <c r="L529" s="307"/>
      <c r="M529" s="307"/>
      <c r="N529" s="308"/>
    </row>
    <row r="530" spans="12:14" ht="15.75" customHeight="1" x14ac:dyDescent="0.2">
      <c r="L530" s="307"/>
      <c r="M530" s="307"/>
      <c r="N530" s="308"/>
    </row>
    <row r="531" spans="12:14" ht="15.75" customHeight="1" x14ac:dyDescent="0.2">
      <c r="L531" s="307"/>
      <c r="M531" s="307"/>
      <c r="N531" s="308"/>
    </row>
    <row r="532" spans="12:14" ht="15.75" customHeight="1" x14ac:dyDescent="0.2">
      <c r="L532" s="307"/>
      <c r="M532" s="307"/>
      <c r="N532" s="308"/>
    </row>
    <row r="533" spans="12:14" ht="15.75" customHeight="1" x14ac:dyDescent="0.2">
      <c r="L533" s="307"/>
      <c r="M533" s="307"/>
      <c r="N533" s="308"/>
    </row>
    <row r="534" spans="12:14" ht="15.75" customHeight="1" x14ac:dyDescent="0.2">
      <c r="L534" s="307"/>
      <c r="M534" s="307"/>
      <c r="N534" s="308"/>
    </row>
    <row r="535" spans="12:14" ht="15.75" customHeight="1" x14ac:dyDescent="0.2">
      <c r="L535" s="307"/>
      <c r="M535" s="307"/>
      <c r="N535" s="308"/>
    </row>
    <row r="536" spans="12:14" ht="15.75" customHeight="1" x14ac:dyDescent="0.2">
      <c r="L536" s="307"/>
      <c r="M536" s="307"/>
      <c r="N536" s="308"/>
    </row>
    <row r="537" spans="12:14" ht="15.75" customHeight="1" x14ac:dyDescent="0.2">
      <c r="L537" s="307"/>
      <c r="M537" s="307"/>
      <c r="N537" s="308"/>
    </row>
    <row r="538" spans="12:14" ht="15.75" customHeight="1" x14ac:dyDescent="0.2">
      <c r="L538" s="307"/>
      <c r="M538" s="307"/>
      <c r="N538" s="308"/>
    </row>
    <row r="539" spans="12:14" ht="15.75" customHeight="1" x14ac:dyDescent="0.2">
      <c r="L539" s="307"/>
      <c r="M539" s="307"/>
      <c r="N539" s="308"/>
    </row>
    <row r="540" spans="12:14" ht="15.75" customHeight="1" x14ac:dyDescent="0.2">
      <c r="L540" s="307"/>
      <c r="M540" s="307"/>
      <c r="N540" s="308"/>
    </row>
    <row r="541" spans="12:14" ht="15.75" customHeight="1" x14ac:dyDescent="0.2">
      <c r="L541" s="307"/>
      <c r="M541" s="307"/>
      <c r="N541" s="308"/>
    </row>
    <row r="542" spans="12:14" ht="15.75" customHeight="1" x14ac:dyDescent="0.2">
      <c r="L542" s="307"/>
      <c r="M542" s="307"/>
      <c r="N542" s="308"/>
    </row>
    <row r="543" spans="12:14" ht="15.75" customHeight="1" x14ac:dyDescent="0.2">
      <c r="L543" s="307"/>
      <c r="M543" s="307"/>
      <c r="N543" s="308"/>
    </row>
    <row r="544" spans="12:14" ht="15.75" customHeight="1" x14ac:dyDescent="0.2">
      <c r="L544" s="307"/>
      <c r="M544" s="307"/>
      <c r="N544" s="308"/>
    </row>
    <row r="545" spans="12:14" ht="15.75" customHeight="1" x14ac:dyDescent="0.2">
      <c r="L545" s="307"/>
      <c r="M545" s="307"/>
      <c r="N545" s="308"/>
    </row>
    <row r="546" spans="12:14" ht="15.75" customHeight="1" x14ac:dyDescent="0.2">
      <c r="L546" s="307"/>
      <c r="M546" s="307"/>
      <c r="N546" s="308"/>
    </row>
    <row r="547" spans="12:14" ht="15.75" customHeight="1" x14ac:dyDescent="0.2">
      <c r="L547" s="307"/>
      <c r="M547" s="307"/>
      <c r="N547" s="308"/>
    </row>
    <row r="548" spans="12:14" ht="15.75" customHeight="1" x14ac:dyDescent="0.2">
      <c r="L548" s="307"/>
      <c r="M548" s="307"/>
      <c r="N548" s="308"/>
    </row>
    <row r="549" spans="12:14" ht="15.75" customHeight="1" x14ac:dyDescent="0.2">
      <c r="L549" s="307"/>
      <c r="M549" s="307"/>
      <c r="N549" s="308"/>
    </row>
    <row r="550" spans="12:14" ht="15.75" customHeight="1" x14ac:dyDescent="0.2">
      <c r="L550" s="307"/>
      <c r="M550" s="307"/>
      <c r="N550" s="308"/>
    </row>
    <row r="551" spans="12:14" ht="15.75" customHeight="1" x14ac:dyDescent="0.2">
      <c r="L551" s="307"/>
      <c r="M551" s="307"/>
      <c r="N551" s="308"/>
    </row>
    <row r="552" spans="12:14" ht="15.75" customHeight="1" x14ac:dyDescent="0.2">
      <c r="L552" s="307"/>
      <c r="M552" s="307"/>
      <c r="N552" s="308"/>
    </row>
    <row r="553" spans="12:14" ht="15.75" customHeight="1" x14ac:dyDescent="0.2">
      <c r="L553" s="307"/>
      <c r="M553" s="307"/>
      <c r="N553" s="308"/>
    </row>
    <row r="554" spans="12:14" ht="15.75" customHeight="1" x14ac:dyDescent="0.2">
      <c r="L554" s="307"/>
      <c r="M554" s="307"/>
      <c r="N554" s="308"/>
    </row>
    <row r="555" spans="12:14" ht="15.75" customHeight="1" x14ac:dyDescent="0.2">
      <c r="L555" s="307"/>
      <c r="M555" s="307"/>
      <c r="N555" s="308"/>
    </row>
    <row r="556" spans="12:14" ht="15.75" customHeight="1" x14ac:dyDescent="0.2">
      <c r="L556" s="307"/>
      <c r="M556" s="307"/>
      <c r="N556" s="308"/>
    </row>
    <row r="557" spans="12:14" ht="15.75" customHeight="1" x14ac:dyDescent="0.2">
      <c r="L557" s="307"/>
      <c r="M557" s="307"/>
      <c r="N557" s="308"/>
    </row>
    <row r="558" spans="12:14" ht="15.75" customHeight="1" x14ac:dyDescent="0.2">
      <c r="L558" s="307"/>
      <c r="M558" s="307"/>
      <c r="N558" s="308"/>
    </row>
    <row r="559" spans="12:14" ht="15.75" customHeight="1" x14ac:dyDescent="0.2">
      <c r="L559" s="307"/>
      <c r="M559" s="307"/>
      <c r="N559" s="308"/>
    </row>
    <row r="560" spans="12:14" ht="15.75" customHeight="1" x14ac:dyDescent="0.2">
      <c r="L560" s="307"/>
      <c r="M560" s="307"/>
      <c r="N560" s="308"/>
    </row>
    <row r="561" spans="12:14" ht="15.75" customHeight="1" x14ac:dyDescent="0.2">
      <c r="L561" s="307"/>
      <c r="M561" s="307"/>
      <c r="N561" s="308"/>
    </row>
    <row r="562" spans="12:14" ht="15.75" customHeight="1" x14ac:dyDescent="0.2">
      <c r="L562" s="307"/>
      <c r="M562" s="307"/>
      <c r="N562" s="308"/>
    </row>
    <row r="563" spans="12:14" ht="15.75" customHeight="1" x14ac:dyDescent="0.2">
      <c r="L563" s="307"/>
      <c r="M563" s="307"/>
      <c r="N563" s="308"/>
    </row>
    <row r="564" spans="12:14" ht="15.75" customHeight="1" x14ac:dyDescent="0.2">
      <c r="L564" s="307"/>
      <c r="M564" s="307"/>
      <c r="N564" s="308"/>
    </row>
    <row r="565" spans="12:14" ht="15.75" customHeight="1" x14ac:dyDescent="0.2">
      <c r="L565" s="307"/>
      <c r="M565" s="307"/>
      <c r="N565" s="308"/>
    </row>
    <row r="566" spans="12:14" ht="15.75" customHeight="1" x14ac:dyDescent="0.2">
      <c r="L566" s="307"/>
      <c r="M566" s="307"/>
      <c r="N566" s="308"/>
    </row>
    <row r="567" spans="12:14" ht="15.75" customHeight="1" x14ac:dyDescent="0.2">
      <c r="L567" s="307"/>
      <c r="M567" s="307"/>
      <c r="N567" s="308"/>
    </row>
    <row r="568" spans="12:14" ht="15.75" customHeight="1" x14ac:dyDescent="0.2">
      <c r="L568" s="307"/>
      <c r="M568" s="307"/>
      <c r="N568" s="308"/>
    </row>
    <row r="569" spans="12:14" ht="15.75" customHeight="1" x14ac:dyDescent="0.2">
      <c r="L569" s="307"/>
      <c r="M569" s="307"/>
      <c r="N569" s="308"/>
    </row>
    <row r="570" spans="12:14" ht="15.75" customHeight="1" x14ac:dyDescent="0.2">
      <c r="L570" s="307"/>
      <c r="M570" s="307"/>
      <c r="N570" s="308"/>
    </row>
    <row r="571" spans="12:14" ht="15.75" customHeight="1" x14ac:dyDescent="0.2">
      <c r="L571" s="307"/>
      <c r="M571" s="307"/>
      <c r="N571" s="308"/>
    </row>
    <row r="572" spans="12:14" ht="15.75" customHeight="1" x14ac:dyDescent="0.2">
      <c r="L572" s="307"/>
      <c r="M572" s="307"/>
      <c r="N572" s="308"/>
    </row>
    <row r="573" spans="12:14" ht="15.75" customHeight="1" x14ac:dyDescent="0.2">
      <c r="L573" s="307"/>
      <c r="M573" s="307"/>
      <c r="N573" s="308"/>
    </row>
    <row r="574" spans="12:14" ht="15.75" customHeight="1" x14ac:dyDescent="0.2">
      <c r="L574" s="307"/>
      <c r="M574" s="307"/>
      <c r="N574" s="308"/>
    </row>
    <row r="575" spans="12:14" ht="15.75" customHeight="1" x14ac:dyDescent="0.2">
      <c r="L575" s="307"/>
      <c r="M575" s="307"/>
      <c r="N575" s="308"/>
    </row>
    <row r="576" spans="12:14" ht="15.75" customHeight="1" x14ac:dyDescent="0.2">
      <c r="L576" s="307"/>
      <c r="M576" s="307"/>
      <c r="N576" s="308"/>
    </row>
    <row r="577" spans="12:14" ht="15.75" customHeight="1" x14ac:dyDescent="0.2">
      <c r="L577" s="307"/>
      <c r="M577" s="307"/>
      <c r="N577" s="308"/>
    </row>
    <row r="578" spans="12:14" ht="15.75" customHeight="1" x14ac:dyDescent="0.2">
      <c r="L578" s="307"/>
      <c r="M578" s="307"/>
      <c r="N578" s="308"/>
    </row>
    <row r="579" spans="12:14" ht="15.75" customHeight="1" x14ac:dyDescent="0.2">
      <c r="L579" s="307"/>
      <c r="M579" s="307"/>
      <c r="N579" s="308"/>
    </row>
    <row r="580" spans="12:14" ht="15.75" customHeight="1" x14ac:dyDescent="0.2">
      <c r="L580" s="307"/>
      <c r="M580" s="307"/>
      <c r="N580" s="308"/>
    </row>
    <row r="581" spans="12:14" ht="15.75" customHeight="1" x14ac:dyDescent="0.2">
      <c r="L581" s="307"/>
      <c r="M581" s="307"/>
      <c r="N581" s="308"/>
    </row>
    <row r="582" spans="12:14" ht="15.75" customHeight="1" x14ac:dyDescent="0.2">
      <c r="L582" s="307"/>
      <c r="M582" s="307"/>
      <c r="N582" s="308"/>
    </row>
    <row r="583" spans="12:14" ht="15.75" customHeight="1" x14ac:dyDescent="0.2">
      <c r="L583" s="307"/>
      <c r="M583" s="307"/>
      <c r="N583" s="308"/>
    </row>
    <row r="584" spans="12:14" ht="15.75" customHeight="1" x14ac:dyDescent="0.2">
      <c r="L584" s="307"/>
      <c r="M584" s="307"/>
      <c r="N584" s="308"/>
    </row>
    <row r="585" spans="12:14" ht="15.75" customHeight="1" x14ac:dyDescent="0.2">
      <c r="L585" s="307"/>
      <c r="M585" s="307"/>
      <c r="N585" s="308"/>
    </row>
    <row r="586" spans="12:14" ht="15.75" customHeight="1" x14ac:dyDescent="0.2">
      <c r="L586" s="307"/>
      <c r="M586" s="307"/>
      <c r="N586" s="308"/>
    </row>
    <row r="587" spans="12:14" ht="15.75" customHeight="1" x14ac:dyDescent="0.2">
      <c r="L587" s="307"/>
      <c r="M587" s="307"/>
      <c r="N587" s="308"/>
    </row>
    <row r="588" spans="12:14" ht="15.75" customHeight="1" x14ac:dyDescent="0.2">
      <c r="L588" s="307"/>
      <c r="M588" s="307"/>
      <c r="N588" s="308"/>
    </row>
    <row r="589" spans="12:14" ht="15.75" customHeight="1" x14ac:dyDescent="0.2">
      <c r="L589" s="307"/>
      <c r="M589" s="307"/>
      <c r="N589" s="308"/>
    </row>
    <row r="590" spans="12:14" ht="15.75" customHeight="1" x14ac:dyDescent="0.2">
      <c r="L590" s="307"/>
      <c r="M590" s="307"/>
      <c r="N590" s="308"/>
    </row>
    <row r="591" spans="12:14" ht="15.75" customHeight="1" x14ac:dyDescent="0.2">
      <c r="L591" s="307"/>
      <c r="M591" s="307"/>
      <c r="N591" s="308"/>
    </row>
    <row r="592" spans="12:14" ht="15.75" customHeight="1" x14ac:dyDescent="0.2">
      <c r="L592" s="307"/>
      <c r="M592" s="307"/>
      <c r="N592" s="308"/>
    </row>
    <row r="593" spans="12:14" ht="15.75" customHeight="1" x14ac:dyDescent="0.2">
      <c r="L593" s="307"/>
      <c r="M593" s="307"/>
      <c r="N593" s="308"/>
    </row>
    <row r="594" spans="12:14" ht="15.75" customHeight="1" x14ac:dyDescent="0.2">
      <c r="L594" s="307"/>
      <c r="M594" s="307"/>
      <c r="N594" s="308"/>
    </row>
    <row r="595" spans="12:14" ht="15.75" customHeight="1" x14ac:dyDescent="0.2">
      <c r="L595" s="307"/>
      <c r="M595" s="307"/>
      <c r="N595" s="308"/>
    </row>
    <row r="596" spans="12:14" ht="15.75" customHeight="1" x14ac:dyDescent="0.2">
      <c r="L596" s="307"/>
      <c r="M596" s="307"/>
      <c r="N596" s="308"/>
    </row>
    <row r="597" spans="12:14" ht="15.75" customHeight="1" x14ac:dyDescent="0.2">
      <c r="L597" s="307"/>
      <c r="M597" s="307"/>
      <c r="N597" s="308"/>
    </row>
    <row r="598" spans="12:14" ht="15.75" customHeight="1" x14ac:dyDescent="0.2">
      <c r="L598" s="307"/>
      <c r="M598" s="307"/>
      <c r="N598" s="308"/>
    </row>
    <row r="599" spans="12:14" ht="15.75" customHeight="1" x14ac:dyDescent="0.2">
      <c r="L599" s="307"/>
      <c r="M599" s="307"/>
      <c r="N599" s="308"/>
    </row>
    <row r="600" spans="12:14" ht="15.75" customHeight="1" x14ac:dyDescent="0.2">
      <c r="L600" s="307"/>
      <c r="M600" s="307"/>
      <c r="N600" s="308"/>
    </row>
    <row r="601" spans="12:14" ht="15.75" customHeight="1" x14ac:dyDescent="0.2">
      <c r="L601" s="307"/>
      <c r="M601" s="307"/>
      <c r="N601" s="308"/>
    </row>
    <row r="602" spans="12:14" ht="15.75" customHeight="1" x14ac:dyDescent="0.2">
      <c r="L602" s="307"/>
      <c r="M602" s="307"/>
      <c r="N602" s="308"/>
    </row>
    <row r="603" spans="12:14" ht="15.75" customHeight="1" x14ac:dyDescent="0.2">
      <c r="L603" s="307"/>
      <c r="M603" s="307"/>
      <c r="N603" s="308"/>
    </row>
    <row r="604" spans="12:14" ht="15.75" customHeight="1" x14ac:dyDescent="0.2">
      <c r="L604" s="307"/>
      <c r="M604" s="307"/>
      <c r="N604" s="308"/>
    </row>
    <row r="605" spans="12:14" ht="15.75" customHeight="1" x14ac:dyDescent="0.2">
      <c r="L605" s="307"/>
      <c r="M605" s="307"/>
      <c r="N605" s="308"/>
    </row>
    <row r="606" spans="12:14" ht="15.75" customHeight="1" x14ac:dyDescent="0.2">
      <c r="L606" s="307"/>
      <c r="M606" s="307"/>
      <c r="N606" s="308"/>
    </row>
    <row r="607" spans="12:14" ht="15.75" customHeight="1" x14ac:dyDescent="0.2">
      <c r="L607" s="307"/>
      <c r="M607" s="307"/>
      <c r="N607" s="308"/>
    </row>
    <row r="608" spans="12:14" ht="15.75" customHeight="1" x14ac:dyDescent="0.2">
      <c r="L608" s="307"/>
      <c r="M608" s="307"/>
      <c r="N608" s="308"/>
    </row>
    <row r="609" spans="12:14" ht="15.75" customHeight="1" x14ac:dyDescent="0.2">
      <c r="L609" s="307"/>
      <c r="M609" s="307"/>
      <c r="N609" s="308"/>
    </row>
    <row r="610" spans="12:14" ht="15.75" customHeight="1" x14ac:dyDescent="0.2">
      <c r="L610" s="307"/>
      <c r="M610" s="307"/>
      <c r="N610" s="308"/>
    </row>
    <row r="611" spans="12:14" ht="15.75" customHeight="1" x14ac:dyDescent="0.2">
      <c r="L611" s="307"/>
      <c r="M611" s="307"/>
      <c r="N611" s="308"/>
    </row>
    <row r="612" spans="12:14" ht="15.75" customHeight="1" x14ac:dyDescent="0.2">
      <c r="L612" s="307"/>
      <c r="M612" s="307"/>
      <c r="N612" s="308"/>
    </row>
    <row r="613" spans="12:14" ht="15.75" customHeight="1" x14ac:dyDescent="0.2">
      <c r="L613" s="307"/>
      <c r="M613" s="307"/>
      <c r="N613" s="308"/>
    </row>
    <row r="614" spans="12:14" ht="15.75" customHeight="1" x14ac:dyDescent="0.2">
      <c r="L614" s="307"/>
      <c r="M614" s="307"/>
      <c r="N614" s="308"/>
    </row>
    <row r="615" spans="12:14" ht="15.75" customHeight="1" x14ac:dyDescent="0.2">
      <c r="L615" s="307"/>
      <c r="M615" s="307"/>
      <c r="N615" s="308"/>
    </row>
    <row r="616" spans="12:14" ht="15.75" customHeight="1" x14ac:dyDescent="0.2">
      <c r="L616" s="307"/>
      <c r="M616" s="307"/>
      <c r="N616" s="308"/>
    </row>
    <row r="617" spans="12:14" ht="15.75" customHeight="1" x14ac:dyDescent="0.2">
      <c r="L617" s="307"/>
      <c r="M617" s="307"/>
      <c r="N617" s="308"/>
    </row>
    <row r="618" spans="12:14" ht="15.75" customHeight="1" x14ac:dyDescent="0.2">
      <c r="L618" s="307"/>
      <c r="M618" s="307"/>
      <c r="N618" s="308"/>
    </row>
    <row r="619" spans="12:14" ht="15.75" customHeight="1" x14ac:dyDescent="0.2">
      <c r="L619" s="307"/>
      <c r="M619" s="307"/>
      <c r="N619" s="308"/>
    </row>
    <row r="620" spans="12:14" ht="15.75" customHeight="1" x14ac:dyDescent="0.2">
      <c r="L620" s="307"/>
      <c r="M620" s="307"/>
      <c r="N620" s="308"/>
    </row>
    <row r="621" spans="12:14" ht="15.75" customHeight="1" x14ac:dyDescent="0.2">
      <c r="L621" s="307"/>
      <c r="M621" s="307"/>
      <c r="N621" s="308"/>
    </row>
    <row r="622" spans="12:14" ht="15.75" customHeight="1" x14ac:dyDescent="0.2">
      <c r="L622" s="307"/>
      <c r="M622" s="307"/>
      <c r="N622" s="308"/>
    </row>
    <row r="623" spans="12:14" ht="15.75" customHeight="1" x14ac:dyDescent="0.2">
      <c r="L623" s="307"/>
      <c r="M623" s="307"/>
      <c r="N623" s="308"/>
    </row>
    <row r="624" spans="12:14" ht="15.75" customHeight="1" x14ac:dyDescent="0.2">
      <c r="L624" s="307"/>
      <c r="M624" s="307"/>
      <c r="N624" s="308"/>
    </row>
    <row r="625" spans="12:14" ht="15.75" customHeight="1" x14ac:dyDescent="0.2">
      <c r="L625" s="307"/>
      <c r="M625" s="307"/>
      <c r="N625" s="308"/>
    </row>
    <row r="626" spans="12:14" ht="15.75" customHeight="1" x14ac:dyDescent="0.2">
      <c r="L626" s="307"/>
      <c r="M626" s="307"/>
      <c r="N626" s="308"/>
    </row>
    <row r="627" spans="12:14" ht="15.75" customHeight="1" x14ac:dyDescent="0.2">
      <c r="L627" s="307"/>
      <c r="M627" s="307"/>
      <c r="N627" s="308"/>
    </row>
    <row r="628" spans="12:14" ht="15.75" customHeight="1" x14ac:dyDescent="0.2">
      <c r="L628" s="307"/>
      <c r="M628" s="307"/>
      <c r="N628" s="308"/>
    </row>
    <row r="629" spans="12:14" ht="15.75" customHeight="1" x14ac:dyDescent="0.2">
      <c r="L629" s="307"/>
      <c r="M629" s="307"/>
      <c r="N629" s="308"/>
    </row>
    <row r="630" spans="12:14" ht="15.75" customHeight="1" x14ac:dyDescent="0.2">
      <c r="L630" s="307"/>
      <c r="M630" s="307"/>
      <c r="N630" s="308"/>
    </row>
    <row r="631" spans="12:14" ht="15.75" customHeight="1" x14ac:dyDescent="0.2">
      <c r="L631" s="307"/>
      <c r="M631" s="307"/>
      <c r="N631" s="308"/>
    </row>
    <row r="632" spans="12:14" ht="15.75" customHeight="1" x14ac:dyDescent="0.2">
      <c r="L632" s="307"/>
      <c r="M632" s="307"/>
      <c r="N632" s="308"/>
    </row>
    <row r="633" spans="12:14" ht="15.75" customHeight="1" x14ac:dyDescent="0.2">
      <c r="L633" s="307"/>
      <c r="M633" s="307"/>
      <c r="N633" s="308"/>
    </row>
    <row r="634" spans="12:14" ht="15.75" customHeight="1" x14ac:dyDescent="0.2">
      <c r="L634" s="307"/>
      <c r="M634" s="307"/>
      <c r="N634" s="308"/>
    </row>
    <row r="635" spans="12:14" ht="15.75" customHeight="1" x14ac:dyDescent="0.2">
      <c r="L635" s="307"/>
      <c r="M635" s="307"/>
      <c r="N635" s="308"/>
    </row>
    <row r="636" spans="12:14" ht="15.75" customHeight="1" x14ac:dyDescent="0.2">
      <c r="L636" s="307"/>
      <c r="M636" s="307"/>
      <c r="N636" s="308"/>
    </row>
    <row r="637" spans="12:14" ht="15.75" customHeight="1" x14ac:dyDescent="0.2">
      <c r="L637" s="307"/>
      <c r="M637" s="307"/>
      <c r="N637" s="308"/>
    </row>
    <row r="638" spans="12:14" ht="15.75" customHeight="1" x14ac:dyDescent="0.2">
      <c r="L638" s="307"/>
      <c r="M638" s="307"/>
      <c r="N638" s="308"/>
    </row>
    <row r="639" spans="12:14" ht="15.75" customHeight="1" x14ac:dyDescent="0.2">
      <c r="L639" s="307"/>
      <c r="M639" s="307"/>
      <c r="N639" s="308"/>
    </row>
    <row r="640" spans="12:14" ht="15.75" customHeight="1" x14ac:dyDescent="0.2">
      <c r="L640" s="307"/>
      <c r="M640" s="307"/>
      <c r="N640" s="308"/>
    </row>
    <row r="641" spans="12:14" ht="15.75" customHeight="1" x14ac:dyDescent="0.2">
      <c r="L641" s="307"/>
      <c r="M641" s="307"/>
      <c r="N641" s="308"/>
    </row>
    <row r="642" spans="12:14" ht="15.75" customHeight="1" x14ac:dyDescent="0.2">
      <c r="L642" s="307"/>
      <c r="M642" s="307"/>
      <c r="N642" s="308"/>
    </row>
    <row r="643" spans="12:14" ht="15.75" customHeight="1" x14ac:dyDescent="0.2">
      <c r="L643" s="307"/>
      <c r="M643" s="307"/>
      <c r="N643" s="308"/>
    </row>
    <row r="644" spans="12:14" ht="15.75" customHeight="1" x14ac:dyDescent="0.2">
      <c r="L644" s="307"/>
      <c r="M644" s="307"/>
      <c r="N644" s="308"/>
    </row>
    <row r="645" spans="12:14" ht="15.75" customHeight="1" x14ac:dyDescent="0.2">
      <c r="L645" s="307"/>
      <c r="M645" s="307"/>
      <c r="N645" s="308"/>
    </row>
    <row r="646" spans="12:14" ht="15.75" customHeight="1" x14ac:dyDescent="0.2">
      <c r="L646" s="307"/>
      <c r="M646" s="307"/>
      <c r="N646" s="308"/>
    </row>
    <row r="647" spans="12:14" ht="15.75" customHeight="1" x14ac:dyDescent="0.2">
      <c r="L647" s="307"/>
      <c r="M647" s="307"/>
      <c r="N647" s="308"/>
    </row>
    <row r="648" spans="12:14" ht="15.75" customHeight="1" x14ac:dyDescent="0.2">
      <c r="L648" s="307"/>
      <c r="M648" s="307"/>
      <c r="N648" s="308"/>
    </row>
    <row r="649" spans="12:14" ht="15.75" customHeight="1" x14ac:dyDescent="0.2">
      <c r="L649" s="307"/>
      <c r="M649" s="307"/>
      <c r="N649" s="308"/>
    </row>
    <row r="650" spans="12:14" ht="15.75" customHeight="1" x14ac:dyDescent="0.2">
      <c r="L650" s="307"/>
      <c r="M650" s="307"/>
      <c r="N650" s="308"/>
    </row>
    <row r="651" spans="12:14" ht="15.75" customHeight="1" x14ac:dyDescent="0.2">
      <c r="L651" s="307"/>
      <c r="M651" s="307"/>
      <c r="N651" s="308"/>
    </row>
    <row r="652" spans="12:14" ht="15.75" customHeight="1" x14ac:dyDescent="0.2">
      <c r="L652" s="307"/>
      <c r="M652" s="307"/>
      <c r="N652" s="308"/>
    </row>
    <row r="653" spans="12:14" ht="15.75" customHeight="1" x14ac:dyDescent="0.2">
      <c r="L653" s="307"/>
      <c r="M653" s="307"/>
      <c r="N653" s="308"/>
    </row>
    <row r="654" spans="12:14" ht="15.75" customHeight="1" x14ac:dyDescent="0.2">
      <c r="L654" s="307"/>
      <c r="M654" s="307"/>
      <c r="N654" s="308"/>
    </row>
    <row r="655" spans="12:14" ht="15.75" customHeight="1" x14ac:dyDescent="0.2">
      <c r="L655" s="307"/>
      <c r="M655" s="307"/>
      <c r="N655" s="308"/>
    </row>
    <row r="656" spans="12:14" ht="15.75" customHeight="1" x14ac:dyDescent="0.2">
      <c r="L656" s="307"/>
      <c r="M656" s="307"/>
      <c r="N656" s="308"/>
    </row>
    <row r="657" spans="12:14" ht="15.75" customHeight="1" x14ac:dyDescent="0.2">
      <c r="L657" s="307"/>
      <c r="M657" s="307"/>
      <c r="N657" s="308"/>
    </row>
    <row r="658" spans="12:14" ht="15.75" customHeight="1" x14ac:dyDescent="0.2">
      <c r="L658" s="307"/>
      <c r="M658" s="307"/>
      <c r="N658" s="308"/>
    </row>
    <row r="659" spans="12:14" ht="15.75" customHeight="1" x14ac:dyDescent="0.2">
      <c r="L659" s="307"/>
      <c r="M659" s="307"/>
      <c r="N659" s="308"/>
    </row>
    <row r="660" spans="12:14" ht="15.75" customHeight="1" x14ac:dyDescent="0.2">
      <c r="L660" s="307"/>
      <c r="M660" s="307"/>
      <c r="N660" s="308"/>
    </row>
    <row r="661" spans="12:14" ht="15.75" customHeight="1" x14ac:dyDescent="0.2">
      <c r="L661" s="307"/>
      <c r="M661" s="307"/>
      <c r="N661" s="308"/>
    </row>
    <row r="662" spans="12:14" ht="15.75" customHeight="1" x14ac:dyDescent="0.2">
      <c r="L662" s="307"/>
      <c r="M662" s="307"/>
      <c r="N662" s="308"/>
    </row>
    <row r="663" spans="12:14" ht="15.75" customHeight="1" x14ac:dyDescent="0.2">
      <c r="L663" s="307"/>
      <c r="M663" s="307"/>
      <c r="N663" s="308"/>
    </row>
    <row r="664" spans="12:14" ht="15.75" customHeight="1" x14ac:dyDescent="0.2">
      <c r="L664" s="307"/>
      <c r="M664" s="307"/>
      <c r="N664" s="308"/>
    </row>
    <row r="665" spans="12:14" ht="15.75" customHeight="1" x14ac:dyDescent="0.2">
      <c r="L665" s="307"/>
      <c r="M665" s="307"/>
      <c r="N665" s="308"/>
    </row>
    <row r="666" spans="12:14" ht="15.75" customHeight="1" x14ac:dyDescent="0.2">
      <c r="L666" s="307"/>
      <c r="M666" s="307"/>
      <c r="N666" s="308"/>
    </row>
    <row r="667" spans="12:14" ht="15.75" customHeight="1" x14ac:dyDescent="0.2">
      <c r="L667" s="307"/>
      <c r="M667" s="307"/>
      <c r="N667" s="308"/>
    </row>
    <row r="668" spans="12:14" ht="15.75" customHeight="1" x14ac:dyDescent="0.2">
      <c r="L668" s="307"/>
      <c r="M668" s="307"/>
      <c r="N668" s="308"/>
    </row>
    <row r="669" spans="12:14" ht="15.75" customHeight="1" x14ac:dyDescent="0.2">
      <c r="L669" s="307"/>
      <c r="M669" s="307"/>
      <c r="N669" s="308"/>
    </row>
    <row r="670" spans="12:14" ht="15.75" customHeight="1" x14ac:dyDescent="0.2">
      <c r="L670" s="307"/>
      <c r="M670" s="307"/>
      <c r="N670" s="308"/>
    </row>
    <row r="671" spans="12:14" ht="15.75" customHeight="1" x14ac:dyDescent="0.2">
      <c r="L671" s="307"/>
      <c r="M671" s="307"/>
      <c r="N671" s="308"/>
    </row>
    <row r="672" spans="12:14" ht="15.75" customHeight="1" x14ac:dyDescent="0.2">
      <c r="L672" s="307"/>
      <c r="M672" s="307"/>
      <c r="N672" s="308"/>
    </row>
    <row r="673" spans="12:14" ht="15.75" customHeight="1" x14ac:dyDescent="0.2">
      <c r="L673" s="307"/>
      <c r="M673" s="307"/>
      <c r="N673" s="308"/>
    </row>
    <row r="674" spans="12:14" ht="15.75" customHeight="1" x14ac:dyDescent="0.2">
      <c r="L674" s="307"/>
      <c r="M674" s="307"/>
      <c r="N674" s="308"/>
    </row>
    <row r="675" spans="12:14" ht="15.75" customHeight="1" x14ac:dyDescent="0.2">
      <c r="L675" s="307"/>
      <c r="M675" s="307"/>
      <c r="N675" s="308"/>
    </row>
    <row r="676" spans="12:14" ht="15.75" customHeight="1" x14ac:dyDescent="0.2">
      <c r="L676" s="307"/>
      <c r="M676" s="307"/>
      <c r="N676" s="308"/>
    </row>
    <row r="677" spans="12:14" ht="15.75" customHeight="1" x14ac:dyDescent="0.2">
      <c r="L677" s="307"/>
      <c r="M677" s="307"/>
      <c r="N677" s="308"/>
    </row>
    <row r="678" spans="12:14" ht="15.75" customHeight="1" x14ac:dyDescent="0.2">
      <c r="L678" s="307"/>
      <c r="M678" s="307"/>
      <c r="N678" s="308"/>
    </row>
    <row r="679" spans="12:14" ht="15.75" customHeight="1" x14ac:dyDescent="0.2">
      <c r="L679" s="307"/>
      <c r="M679" s="307"/>
      <c r="N679" s="308"/>
    </row>
    <row r="680" spans="12:14" ht="15.75" customHeight="1" x14ac:dyDescent="0.2">
      <c r="L680" s="307"/>
      <c r="M680" s="307"/>
      <c r="N680" s="308"/>
    </row>
    <row r="681" spans="12:14" ht="15.75" customHeight="1" x14ac:dyDescent="0.2">
      <c r="L681" s="307"/>
      <c r="M681" s="307"/>
      <c r="N681" s="308"/>
    </row>
    <row r="682" spans="12:14" ht="15.75" customHeight="1" x14ac:dyDescent="0.2">
      <c r="L682" s="307"/>
      <c r="M682" s="307"/>
      <c r="N682" s="308"/>
    </row>
    <row r="683" spans="12:14" ht="15.75" customHeight="1" x14ac:dyDescent="0.2">
      <c r="L683" s="307"/>
      <c r="M683" s="307"/>
      <c r="N683" s="308"/>
    </row>
    <row r="684" spans="12:14" ht="15.75" customHeight="1" x14ac:dyDescent="0.2">
      <c r="L684" s="307"/>
      <c r="M684" s="307"/>
      <c r="N684" s="308"/>
    </row>
    <row r="685" spans="12:14" ht="15.75" customHeight="1" x14ac:dyDescent="0.2">
      <c r="L685" s="307"/>
      <c r="M685" s="307"/>
      <c r="N685" s="308"/>
    </row>
    <row r="686" spans="12:14" ht="15.75" customHeight="1" x14ac:dyDescent="0.2">
      <c r="L686" s="307"/>
      <c r="M686" s="307"/>
      <c r="N686" s="308"/>
    </row>
    <row r="687" spans="12:14" ht="15.75" customHeight="1" x14ac:dyDescent="0.2">
      <c r="L687" s="307"/>
      <c r="M687" s="307"/>
      <c r="N687" s="308"/>
    </row>
    <row r="688" spans="12:14" ht="15.75" customHeight="1" x14ac:dyDescent="0.2">
      <c r="L688" s="307"/>
      <c r="M688" s="307"/>
      <c r="N688" s="308"/>
    </row>
    <row r="689" spans="12:14" ht="15.75" customHeight="1" x14ac:dyDescent="0.2">
      <c r="L689" s="307"/>
      <c r="M689" s="307"/>
      <c r="N689" s="308"/>
    </row>
    <row r="690" spans="12:14" ht="15.75" customHeight="1" x14ac:dyDescent="0.2">
      <c r="L690" s="307"/>
      <c r="M690" s="307"/>
      <c r="N690" s="308"/>
    </row>
    <row r="691" spans="12:14" ht="15.75" customHeight="1" x14ac:dyDescent="0.2">
      <c r="L691" s="307"/>
      <c r="M691" s="307"/>
      <c r="N691" s="308"/>
    </row>
    <row r="692" spans="12:14" ht="15.75" customHeight="1" x14ac:dyDescent="0.2">
      <c r="L692" s="307"/>
      <c r="M692" s="307"/>
      <c r="N692" s="308"/>
    </row>
    <row r="693" spans="12:14" ht="15.75" customHeight="1" x14ac:dyDescent="0.2">
      <c r="L693" s="307"/>
      <c r="M693" s="307"/>
      <c r="N693" s="308"/>
    </row>
    <row r="694" spans="12:14" ht="15.75" customHeight="1" x14ac:dyDescent="0.2">
      <c r="L694" s="307"/>
      <c r="M694" s="307"/>
      <c r="N694" s="308"/>
    </row>
    <row r="695" spans="12:14" ht="15.75" customHeight="1" x14ac:dyDescent="0.2">
      <c r="L695" s="307"/>
      <c r="M695" s="307"/>
      <c r="N695" s="308"/>
    </row>
    <row r="696" spans="12:14" ht="15.75" customHeight="1" x14ac:dyDescent="0.2">
      <c r="L696" s="307"/>
      <c r="M696" s="307"/>
      <c r="N696" s="308"/>
    </row>
    <row r="697" spans="12:14" ht="15.75" customHeight="1" x14ac:dyDescent="0.2">
      <c r="L697" s="307"/>
      <c r="M697" s="307"/>
      <c r="N697" s="308"/>
    </row>
    <row r="698" spans="12:14" ht="15.75" customHeight="1" x14ac:dyDescent="0.2">
      <c r="L698" s="307"/>
      <c r="M698" s="307"/>
      <c r="N698" s="308"/>
    </row>
    <row r="699" spans="12:14" ht="15.75" customHeight="1" x14ac:dyDescent="0.2">
      <c r="L699" s="307"/>
      <c r="M699" s="307"/>
      <c r="N699" s="308"/>
    </row>
    <row r="700" spans="12:14" ht="15.75" customHeight="1" x14ac:dyDescent="0.2">
      <c r="L700" s="307"/>
      <c r="M700" s="307"/>
      <c r="N700" s="308"/>
    </row>
    <row r="701" spans="12:14" ht="15.75" customHeight="1" x14ac:dyDescent="0.2">
      <c r="L701" s="307"/>
      <c r="M701" s="307"/>
      <c r="N701" s="308"/>
    </row>
    <row r="702" spans="12:14" ht="15.75" customHeight="1" x14ac:dyDescent="0.2">
      <c r="L702" s="307"/>
      <c r="M702" s="307"/>
      <c r="N702" s="308"/>
    </row>
    <row r="703" spans="12:14" ht="15.75" customHeight="1" x14ac:dyDescent="0.2">
      <c r="L703" s="307"/>
      <c r="M703" s="307"/>
      <c r="N703" s="308"/>
    </row>
    <row r="704" spans="12:14" ht="15.75" customHeight="1" x14ac:dyDescent="0.2">
      <c r="L704" s="307"/>
      <c r="M704" s="307"/>
      <c r="N704" s="308"/>
    </row>
    <row r="705" spans="12:14" ht="15.75" customHeight="1" x14ac:dyDescent="0.2">
      <c r="L705" s="307"/>
      <c r="M705" s="307"/>
      <c r="N705" s="308"/>
    </row>
    <row r="706" spans="12:14" ht="15.75" customHeight="1" x14ac:dyDescent="0.2">
      <c r="L706" s="307"/>
      <c r="M706" s="307"/>
      <c r="N706" s="308"/>
    </row>
    <row r="707" spans="12:14" ht="15.75" customHeight="1" x14ac:dyDescent="0.2">
      <c r="L707" s="307"/>
      <c r="M707" s="307"/>
      <c r="N707" s="308"/>
    </row>
    <row r="708" spans="12:14" ht="15.75" customHeight="1" x14ac:dyDescent="0.2">
      <c r="L708" s="307"/>
      <c r="M708" s="307"/>
      <c r="N708" s="308"/>
    </row>
    <row r="709" spans="12:14" ht="15.75" customHeight="1" x14ac:dyDescent="0.2">
      <c r="L709" s="307"/>
      <c r="M709" s="307"/>
      <c r="N709" s="308"/>
    </row>
    <row r="710" spans="12:14" ht="15.75" customHeight="1" x14ac:dyDescent="0.2">
      <c r="L710" s="307"/>
      <c r="M710" s="307"/>
      <c r="N710" s="308"/>
    </row>
    <row r="711" spans="12:14" ht="15.75" customHeight="1" x14ac:dyDescent="0.2">
      <c r="L711" s="307"/>
      <c r="M711" s="307"/>
      <c r="N711" s="308"/>
    </row>
    <row r="712" spans="12:14" ht="15.75" customHeight="1" x14ac:dyDescent="0.2">
      <c r="L712" s="307"/>
      <c r="M712" s="307"/>
      <c r="N712" s="308"/>
    </row>
    <row r="713" spans="12:14" ht="15.75" customHeight="1" x14ac:dyDescent="0.2">
      <c r="L713" s="307"/>
      <c r="M713" s="307"/>
      <c r="N713" s="308"/>
    </row>
    <row r="714" spans="12:14" ht="15.75" customHeight="1" x14ac:dyDescent="0.2">
      <c r="L714" s="307"/>
      <c r="M714" s="307"/>
      <c r="N714" s="308"/>
    </row>
    <row r="715" spans="12:14" ht="15.75" customHeight="1" x14ac:dyDescent="0.2">
      <c r="L715" s="307"/>
      <c r="M715" s="307"/>
      <c r="N715" s="308"/>
    </row>
    <row r="716" spans="12:14" ht="15.75" customHeight="1" x14ac:dyDescent="0.2">
      <c r="L716" s="307"/>
      <c r="M716" s="307"/>
      <c r="N716" s="308"/>
    </row>
    <row r="717" spans="12:14" ht="15.75" customHeight="1" x14ac:dyDescent="0.2">
      <c r="L717" s="307"/>
      <c r="M717" s="307"/>
      <c r="N717" s="308"/>
    </row>
    <row r="718" spans="12:14" ht="15.75" customHeight="1" x14ac:dyDescent="0.2">
      <c r="L718" s="307"/>
      <c r="M718" s="307"/>
      <c r="N718" s="308"/>
    </row>
    <row r="719" spans="12:14" ht="15.75" customHeight="1" x14ac:dyDescent="0.2">
      <c r="L719" s="307"/>
      <c r="M719" s="307"/>
      <c r="N719" s="308"/>
    </row>
    <row r="720" spans="12:14" ht="15.75" customHeight="1" x14ac:dyDescent="0.2">
      <c r="L720" s="307"/>
      <c r="M720" s="307"/>
      <c r="N720" s="308"/>
    </row>
    <row r="721" spans="12:14" ht="15.75" customHeight="1" x14ac:dyDescent="0.2">
      <c r="L721" s="307"/>
      <c r="M721" s="307"/>
      <c r="N721" s="308"/>
    </row>
    <row r="722" spans="12:14" ht="15.75" customHeight="1" x14ac:dyDescent="0.2">
      <c r="L722" s="307"/>
      <c r="M722" s="307"/>
      <c r="N722" s="308"/>
    </row>
    <row r="723" spans="12:14" ht="15.75" customHeight="1" x14ac:dyDescent="0.2">
      <c r="L723" s="307"/>
      <c r="M723" s="307"/>
      <c r="N723" s="308"/>
    </row>
    <row r="724" spans="12:14" ht="15.75" customHeight="1" x14ac:dyDescent="0.2">
      <c r="L724" s="307"/>
      <c r="M724" s="307"/>
      <c r="N724" s="308"/>
    </row>
    <row r="725" spans="12:14" ht="15.75" customHeight="1" x14ac:dyDescent="0.2">
      <c r="L725" s="307"/>
      <c r="M725" s="307"/>
      <c r="N725" s="308"/>
    </row>
    <row r="726" spans="12:14" ht="15.75" customHeight="1" x14ac:dyDescent="0.2">
      <c r="L726" s="307"/>
      <c r="M726" s="307"/>
      <c r="N726" s="308"/>
    </row>
    <row r="727" spans="12:14" ht="15.75" customHeight="1" x14ac:dyDescent="0.2">
      <c r="L727" s="307"/>
      <c r="M727" s="307"/>
      <c r="N727" s="308"/>
    </row>
    <row r="728" spans="12:14" ht="15.75" customHeight="1" x14ac:dyDescent="0.2">
      <c r="L728" s="307"/>
      <c r="M728" s="307"/>
      <c r="N728" s="308"/>
    </row>
    <row r="729" spans="12:14" ht="15.75" customHeight="1" x14ac:dyDescent="0.2">
      <c r="L729" s="307"/>
      <c r="M729" s="307"/>
      <c r="N729" s="308"/>
    </row>
    <row r="730" spans="12:14" ht="15.75" customHeight="1" x14ac:dyDescent="0.2">
      <c r="L730" s="307"/>
      <c r="M730" s="307"/>
      <c r="N730" s="308"/>
    </row>
    <row r="731" spans="12:14" ht="15.75" customHeight="1" x14ac:dyDescent="0.2">
      <c r="L731" s="307"/>
      <c r="M731" s="307"/>
      <c r="N731" s="308"/>
    </row>
    <row r="732" spans="12:14" ht="15.75" customHeight="1" x14ac:dyDescent="0.2">
      <c r="L732" s="307"/>
      <c r="M732" s="307"/>
      <c r="N732" s="308"/>
    </row>
    <row r="733" spans="12:14" ht="15.75" customHeight="1" x14ac:dyDescent="0.2">
      <c r="L733" s="307"/>
      <c r="M733" s="307"/>
      <c r="N733" s="308"/>
    </row>
    <row r="734" spans="12:14" ht="15.75" customHeight="1" x14ac:dyDescent="0.2">
      <c r="L734" s="307"/>
      <c r="M734" s="307"/>
      <c r="N734" s="308"/>
    </row>
    <row r="735" spans="12:14" ht="15.75" customHeight="1" x14ac:dyDescent="0.2">
      <c r="L735" s="307"/>
      <c r="M735" s="307"/>
      <c r="N735" s="308"/>
    </row>
    <row r="736" spans="12:14" ht="15.75" customHeight="1" x14ac:dyDescent="0.2">
      <c r="L736" s="307"/>
      <c r="M736" s="307"/>
      <c r="N736" s="308"/>
    </row>
    <row r="737" spans="12:14" ht="15.75" customHeight="1" x14ac:dyDescent="0.2">
      <c r="L737" s="307"/>
      <c r="M737" s="307"/>
      <c r="N737" s="308"/>
    </row>
    <row r="738" spans="12:14" ht="15.75" customHeight="1" x14ac:dyDescent="0.2">
      <c r="L738" s="307"/>
      <c r="M738" s="307"/>
      <c r="N738" s="308"/>
    </row>
    <row r="739" spans="12:14" ht="15.75" customHeight="1" x14ac:dyDescent="0.2">
      <c r="L739" s="307"/>
      <c r="M739" s="307"/>
      <c r="N739" s="308"/>
    </row>
    <row r="740" spans="12:14" ht="15.75" customHeight="1" x14ac:dyDescent="0.2">
      <c r="L740" s="307"/>
      <c r="M740" s="307"/>
      <c r="N740" s="308"/>
    </row>
    <row r="741" spans="12:14" ht="15.75" customHeight="1" x14ac:dyDescent="0.2">
      <c r="L741" s="307"/>
      <c r="M741" s="307"/>
      <c r="N741" s="308"/>
    </row>
    <row r="742" spans="12:14" ht="15.75" customHeight="1" x14ac:dyDescent="0.2">
      <c r="L742" s="307"/>
      <c r="M742" s="307"/>
      <c r="N742" s="308"/>
    </row>
    <row r="743" spans="12:14" ht="15.75" customHeight="1" x14ac:dyDescent="0.2">
      <c r="L743" s="307"/>
      <c r="M743" s="307"/>
      <c r="N743" s="308"/>
    </row>
    <row r="744" spans="12:14" ht="15.75" customHeight="1" x14ac:dyDescent="0.2">
      <c r="L744" s="307"/>
      <c r="M744" s="307"/>
      <c r="N744" s="308"/>
    </row>
    <row r="745" spans="12:14" ht="15.75" customHeight="1" x14ac:dyDescent="0.2">
      <c r="L745" s="307"/>
      <c r="M745" s="307"/>
      <c r="N745" s="308"/>
    </row>
    <row r="746" spans="12:14" ht="15.75" customHeight="1" x14ac:dyDescent="0.2">
      <c r="L746" s="307"/>
      <c r="M746" s="307"/>
      <c r="N746" s="308"/>
    </row>
    <row r="747" spans="12:14" ht="15.75" customHeight="1" x14ac:dyDescent="0.2">
      <c r="L747" s="307"/>
      <c r="M747" s="307"/>
      <c r="N747" s="308"/>
    </row>
    <row r="748" spans="12:14" ht="15.75" customHeight="1" x14ac:dyDescent="0.2">
      <c r="L748" s="307"/>
      <c r="M748" s="307"/>
      <c r="N748" s="308"/>
    </row>
    <row r="749" spans="12:14" ht="15.75" customHeight="1" x14ac:dyDescent="0.2">
      <c r="L749" s="307"/>
      <c r="M749" s="307"/>
      <c r="N749" s="308"/>
    </row>
    <row r="750" spans="12:14" ht="15.75" customHeight="1" x14ac:dyDescent="0.2">
      <c r="L750" s="307"/>
      <c r="M750" s="307"/>
      <c r="N750" s="308"/>
    </row>
    <row r="751" spans="12:14" ht="15.75" customHeight="1" x14ac:dyDescent="0.2">
      <c r="L751" s="307"/>
      <c r="M751" s="307"/>
      <c r="N751" s="308"/>
    </row>
    <row r="752" spans="12:14" ht="15.75" customHeight="1" x14ac:dyDescent="0.2">
      <c r="L752" s="307"/>
      <c r="M752" s="307"/>
      <c r="N752" s="308"/>
    </row>
    <row r="753" spans="12:14" ht="15.75" customHeight="1" x14ac:dyDescent="0.2">
      <c r="L753" s="307"/>
      <c r="M753" s="307"/>
      <c r="N753" s="308"/>
    </row>
    <row r="754" spans="12:14" ht="15.75" customHeight="1" x14ac:dyDescent="0.2">
      <c r="L754" s="307"/>
      <c r="M754" s="307"/>
      <c r="N754" s="308"/>
    </row>
    <row r="755" spans="12:14" ht="15.75" customHeight="1" x14ac:dyDescent="0.2">
      <c r="L755" s="307"/>
      <c r="M755" s="307"/>
      <c r="N755" s="308"/>
    </row>
    <row r="756" spans="12:14" ht="15.75" customHeight="1" x14ac:dyDescent="0.2">
      <c r="L756" s="307"/>
      <c r="M756" s="307"/>
      <c r="N756" s="308"/>
    </row>
    <row r="757" spans="12:14" ht="15.75" customHeight="1" x14ac:dyDescent="0.2">
      <c r="L757" s="307"/>
      <c r="M757" s="307"/>
      <c r="N757" s="308"/>
    </row>
    <row r="758" spans="12:14" ht="15.75" customHeight="1" x14ac:dyDescent="0.2">
      <c r="L758" s="307"/>
      <c r="M758" s="307"/>
      <c r="N758" s="308"/>
    </row>
    <row r="759" spans="12:14" ht="15.75" customHeight="1" x14ac:dyDescent="0.2">
      <c r="L759" s="307"/>
      <c r="M759" s="307"/>
      <c r="N759" s="308"/>
    </row>
    <row r="760" spans="12:14" ht="15.75" customHeight="1" x14ac:dyDescent="0.2">
      <c r="L760" s="307"/>
      <c r="M760" s="307"/>
      <c r="N760" s="308"/>
    </row>
    <row r="761" spans="12:14" ht="15.75" customHeight="1" x14ac:dyDescent="0.2">
      <c r="L761" s="307"/>
      <c r="M761" s="307"/>
      <c r="N761" s="308"/>
    </row>
    <row r="762" spans="12:14" ht="15.75" customHeight="1" x14ac:dyDescent="0.2">
      <c r="L762" s="307"/>
      <c r="M762" s="307"/>
      <c r="N762" s="308"/>
    </row>
    <row r="763" spans="12:14" ht="15.75" customHeight="1" x14ac:dyDescent="0.2">
      <c r="L763" s="307"/>
      <c r="M763" s="307"/>
      <c r="N763" s="308"/>
    </row>
    <row r="764" spans="12:14" ht="15.75" customHeight="1" x14ac:dyDescent="0.2">
      <c r="L764" s="307"/>
      <c r="M764" s="307"/>
      <c r="N764" s="308"/>
    </row>
    <row r="765" spans="12:14" ht="15.75" customHeight="1" x14ac:dyDescent="0.2">
      <c r="L765" s="307"/>
      <c r="M765" s="307"/>
      <c r="N765" s="308"/>
    </row>
    <row r="766" spans="12:14" ht="15.75" customHeight="1" x14ac:dyDescent="0.2">
      <c r="L766" s="307"/>
      <c r="M766" s="307"/>
      <c r="N766" s="308"/>
    </row>
    <row r="767" spans="12:14" ht="15.75" customHeight="1" x14ac:dyDescent="0.2">
      <c r="L767" s="307"/>
      <c r="M767" s="307"/>
      <c r="N767" s="308"/>
    </row>
    <row r="768" spans="12:14" ht="15.75" customHeight="1" x14ac:dyDescent="0.2">
      <c r="L768" s="307"/>
      <c r="M768" s="307"/>
      <c r="N768" s="308"/>
    </row>
    <row r="769" spans="12:14" ht="15.75" customHeight="1" x14ac:dyDescent="0.2">
      <c r="L769" s="307"/>
      <c r="M769" s="307"/>
      <c r="N769" s="308"/>
    </row>
    <row r="770" spans="12:14" ht="15.75" customHeight="1" x14ac:dyDescent="0.2">
      <c r="L770" s="307"/>
      <c r="M770" s="307"/>
      <c r="N770" s="308"/>
    </row>
    <row r="771" spans="12:14" ht="15.75" customHeight="1" x14ac:dyDescent="0.2">
      <c r="L771" s="307"/>
      <c r="M771" s="307"/>
      <c r="N771" s="308"/>
    </row>
    <row r="772" spans="12:14" ht="15.75" customHeight="1" x14ac:dyDescent="0.2">
      <c r="L772" s="307"/>
      <c r="M772" s="307"/>
      <c r="N772" s="308"/>
    </row>
    <row r="773" spans="12:14" ht="15.75" customHeight="1" x14ac:dyDescent="0.2">
      <c r="L773" s="307"/>
      <c r="M773" s="307"/>
      <c r="N773" s="308"/>
    </row>
    <row r="774" spans="12:14" ht="15.75" customHeight="1" x14ac:dyDescent="0.2">
      <c r="L774" s="307"/>
      <c r="M774" s="307"/>
      <c r="N774" s="308"/>
    </row>
    <row r="775" spans="12:14" ht="15.75" customHeight="1" x14ac:dyDescent="0.2">
      <c r="L775" s="307"/>
      <c r="M775" s="307"/>
      <c r="N775" s="308"/>
    </row>
    <row r="776" spans="12:14" ht="15.75" customHeight="1" x14ac:dyDescent="0.2">
      <c r="L776" s="307"/>
      <c r="M776" s="307"/>
      <c r="N776" s="308"/>
    </row>
    <row r="777" spans="12:14" ht="15.75" customHeight="1" x14ac:dyDescent="0.2">
      <c r="L777" s="307"/>
      <c r="M777" s="307"/>
      <c r="N777" s="308"/>
    </row>
    <row r="778" spans="12:14" ht="15.75" customHeight="1" x14ac:dyDescent="0.2">
      <c r="L778" s="307"/>
      <c r="M778" s="307"/>
      <c r="N778" s="308"/>
    </row>
    <row r="779" spans="12:14" ht="15.75" customHeight="1" x14ac:dyDescent="0.2">
      <c r="L779" s="307"/>
      <c r="M779" s="307"/>
      <c r="N779" s="308"/>
    </row>
    <row r="780" spans="12:14" ht="15.75" customHeight="1" x14ac:dyDescent="0.2">
      <c r="L780" s="307"/>
      <c r="M780" s="307"/>
      <c r="N780" s="308"/>
    </row>
    <row r="781" spans="12:14" ht="15.75" customHeight="1" x14ac:dyDescent="0.2">
      <c r="L781" s="307"/>
      <c r="M781" s="307"/>
      <c r="N781" s="308"/>
    </row>
    <row r="782" spans="12:14" ht="15.75" customHeight="1" x14ac:dyDescent="0.2">
      <c r="L782" s="307"/>
      <c r="M782" s="307"/>
      <c r="N782" s="308"/>
    </row>
    <row r="783" spans="12:14" ht="15.75" customHeight="1" x14ac:dyDescent="0.2">
      <c r="L783" s="307"/>
      <c r="M783" s="307"/>
      <c r="N783" s="308"/>
    </row>
    <row r="784" spans="12:14" ht="15.75" customHeight="1" x14ac:dyDescent="0.2">
      <c r="L784" s="307"/>
      <c r="M784" s="307"/>
      <c r="N784" s="308"/>
    </row>
    <row r="785" spans="12:14" ht="15.75" customHeight="1" x14ac:dyDescent="0.2">
      <c r="L785" s="307"/>
      <c r="M785" s="307"/>
      <c r="N785" s="308"/>
    </row>
    <row r="786" spans="12:14" ht="15.75" customHeight="1" x14ac:dyDescent="0.2">
      <c r="L786" s="307"/>
      <c r="M786" s="307"/>
      <c r="N786" s="308"/>
    </row>
    <row r="787" spans="12:14" ht="15.75" customHeight="1" x14ac:dyDescent="0.2">
      <c r="L787" s="307"/>
      <c r="M787" s="307"/>
      <c r="N787" s="308"/>
    </row>
    <row r="788" spans="12:14" ht="15.75" customHeight="1" x14ac:dyDescent="0.2">
      <c r="L788" s="307"/>
      <c r="M788" s="307"/>
      <c r="N788" s="308"/>
    </row>
    <row r="789" spans="12:14" ht="15.75" customHeight="1" x14ac:dyDescent="0.2">
      <c r="L789" s="307"/>
      <c r="M789" s="307"/>
      <c r="N789" s="308"/>
    </row>
    <row r="790" spans="12:14" ht="15.75" customHeight="1" x14ac:dyDescent="0.2">
      <c r="L790" s="307"/>
      <c r="M790" s="307"/>
      <c r="N790" s="308"/>
    </row>
    <row r="791" spans="12:14" ht="15.75" customHeight="1" x14ac:dyDescent="0.2">
      <c r="L791" s="307"/>
      <c r="M791" s="307"/>
      <c r="N791" s="308"/>
    </row>
    <row r="792" spans="12:14" ht="15.75" customHeight="1" x14ac:dyDescent="0.2">
      <c r="L792" s="307"/>
      <c r="M792" s="307"/>
      <c r="N792" s="308"/>
    </row>
    <row r="793" spans="12:14" ht="15.75" customHeight="1" x14ac:dyDescent="0.2">
      <c r="L793" s="307"/>
      <c r="M793" s="307"/>
      <c r="N793" s="308"/>
    </row>
    <row r="794" spans="12:14" ht="15.75" customHeight="1" x14ac:dyDescent="0.2">
      <c r="L794" s="307"/>
      <c r="M794" s="307"/>
      <c r="N794" s="308"/>
    </row>
    <row r="795" spans="12:14" ht="15.75" customHeight="1" x14ac:dyDescent="0.2">
      <c r="L795" s="307"/>
      <c r="M795" s="307"/>
      <c r="N795" s="308"/>
    </row>
    <row r="796" spans="12:14" ht="15.75" customHeight="1" x14ac:dyDescent="0.2">
      <c r="L796" s="307"/>
      <c r="M796" s="307"/>
      <c r="N796" s="308"/>
    </row>
    <row r="797" spans="12:14" ht="15.75" customHeight="1" x14ac:dyDescent="0.2">
      <c r="L797" s="307"/>
      <c r="M797" s="307"/>
      <c r="N797" s="308"/>
    </row>
    <row r="798" spans="12:14" ht="15.75" customHeight="1" x14ac:dyDescent="0.2">
      <c r="L798" s="307"/>
      <c r="M798" s="307"/>
      <c r="N798" s="308"/>
    </row>
    <row r="799" spans="12:14" ht="15.75" customHeight="1" x14ac:dyDescent="0.2">
      <c r="L799" s="307"/>
      <c r="M799" s="307"/>
      <c r="N799" s="308"/>
    </row>
    <row r="800" spans="12:14" ht="15.75" customHeight="1" x14ac:dyDescent="0.2">
      <c r="L800" s="307"/>
      <c r="M800" s="307"/>
      <c r="N800" s="308"/>
    </row>
    <row r="801" spans="12:14" ht="15.75" customHeight="1" x14ac:dyDescent="0.2">
      <c r="L801" s="307"/>
      <c r="M801" s="307"/>
      <c r="N801" s="308"/>
    </row>
    <row r="802" spans="12:14" ht="15.75" customHeight="1" x14ac:dyDescent="0.2">
      <c r="L802" s="307"/>
      <c r="M802" s="307"/>
      <c r="N802" s="308"/>
    </row>
    <row r="803" spans="12:14" ht="15.75" customHeight="1" x14ac:dyDescent="0.2">
      <c r="L803" s="307"/>
      <c r="M803" s="307"/>
      <c r="N803" s="308"/>
    </row>
    <row r="804" spans="12:14" ht="15.75" customHeight="1" x14ac:dyDescent="0.2">
      <c r="L804" s="307"/>
      <c r="M804" s="307"/>
      <c r="N804" s="308"/>
    </row>
    <row r="805" spans="12:14" ht="15.75" customHeight="1" x14ac:dyDescent="0.2">
      <c r="L805" s="307"/>
      <c r="M805" s="307"/>
      <c r="N805" s="308"/>
    </row>
    <row r="806" spans="12:14" ht="15.75" customHeight="1" x14ac:dyDescent="0.2">
      <c r="L806" s="307"/>
      <c r="M806" s="307"/>
      <c r="N806" s="308"/>
    </row>
    <row r="807" spans="12:14" ht="15.75" customHeight="1" x14ac:dyDescent="0.2">
      <c r="L807" s="307"/>
      <c r="M807" s="307"/>
      <c r="N807" s="308"/>
    </row>
    <row r="808" spans="12:14" ht="15.75" customHeight="1" x14ac:dyDescent="0.2">
      <c r="L808" s="307"/>
      <c r="M808" s="307"/>
      <c r="N808" s="308"/>
    </row>
    <row r="809" spans="12:14" ht="15.75" customHeight="1" x14ac:dyDescent="0.2">
      <c r="L809" s="307"/>
      <c r="M809" s="307"/>
      <c r="N809" s="308"/>
    </row>
    <row r="810" spans="12:14" ht="15.75" customHeight="1" x14ac:dyDescent="0.2">
      <c r="L810" s="307"/>
      <c r="M810" s="307"/>
      <c r="N810" s="308"/>
    </row>
    <row r="811" spans="12:14" ht="15.75" customHeight="1" x14ac:dyDescent="0.2">
      <c r="L811" s="307"/>
      <c r="M811" s="307"/>
      <c r="N811" s="308"/>
    </row>
    <row r="812" spans="12:14" ht="15.75" customHeight="1" x14ac:dyDescent="0.2">
      <c r="L812" s="307"/>
      <c r="M812" s="307"/>
      <c r="N812" s="308"/>
    </row>
    <row r="813" spans="12:14" ht="15.75" customHeight="1" x14ac:dyDescent="0.2">
      <c r="L813" s="307"/>
      <c r="M813" s="307"/>
      <c r="N813" s="308"/>
    </row>
    <row r="814" spans="12:14" ht="15.75" customHeight="1" x14ac:dyDescent="0.2">
      <c r="L814" s="307"/>
      <c r="M814" s="307"/>
      <c r="N814" s="308"/>
    </row>
    <row r="815" spans="12:14" ht="15.75" customHeight="1" x14ac:dyDescent="0.2">
      <c r="L815" s="307"/>
      <c r="M815" s="307"/>
      <c r="N815" s="308"/>
    </row>
    <row r="816" spans="12:14" ht="15.75" customHeight="1" x14ac:dyDescent="0.2">
      <c r="L816" s="307"/>
      <c r="M816" s="307"/>
      <c r="N816" s="308"/>
    </row>
    <row r="817" spans="12:14" ht="15.75" customHeight="1" x14ac:dyDescent="0.2">
      <c r="L817" s="307"/>
      <c r="M817" s="307"/>
      <c r="N817" s="308"/>
    </row>
    <row r="818" spans="12:14" ht="15.75" customHeight="1" x14ac:dyDescent="0.2">
      <c r="L818" s="307"/>
      <c r="M818" s="307"/>
      <c r="N818" s="308"/>
    </row>
    <row r="819" spans="12:14" ht="15.75" customHeight="1" x14ac:dyDescent="0.2">
      <c r="L819" s="307"/>
      <c r="M819" s="307"/>
      <c r="N819" s="308"/>
    </row>
    <row r="820" spans="12:14" ht="15.75" customHeight="1" x14ac:dyDescent="0.2">
      <c r="L820" s="307"/>
      <c r="M820" s="307"/>
      <c r="N820" s="308"/>
    </row>
    <row r="821" spans="12:14" ht="15.75" customHeight="1" x14ac:dyDescent="0.2">
      <c r="L821" s="307"/>
      <c r="M821" s="307"/>
      <c r="N821" s="308"/>
    </row>
    <row r="822" spans="12:14" ht="15.75" customHeight="1" x14ac:dyDescent="0.2">
      <c r="L822" s="307"/>
      <c r="M822" s="307"/>
      <c r="N822" s="308"/>
    </row>
    <row r="823" spans="12:14" ht="15.75" customHeight="1" x14ac:dyDescent="0.2">
      <c r="L823" s="307"/>
      <c r="M823" s="307"/>
      <c r="N823" s="308"/>
    </row>
    <row r="824" spans="12:14" ht="15.75" customHeight="1" x14ac:dyDescent="0.2">
      <c r="L824" s="307"/>
      <c r="M824" s="307"/>
      <c r="N824" s="308"/>
    </row>
    <row r="825" spans="12:14" ht="15.75" customHeight="1" x14ac:dyDescent="0.2">
      <c r="L825" s="307"/>
      <c r="M825" s="307"/>
      <c r="N825" s="308"/>
    </row>
    <row r="826" spans="12:14" ht="15.75" customHeight="1" x14ac:dyDescent="0.2">
      <c r="L826" s="307"/>
      <c r="M826" s="307"/>
      <c r="N826" s="308"/>
    </row>
    <row r="827" spans="12:14" ht="15.75" customHeight="1" x14ac:dyDescent="0.2">
      <c r="L827" s="307"/>
      <c r="M827" s="307"/>
      <c r="N827" s="308"/>
    </row>
    <row r="828" spans="12:14" ht="15.75" customHeight="1" x14ac:dyDescent="0.2">
      <c r="L828" s="307"/>
      <c r="M828" s="307"/>
      <c r="N828" s="308"/>
    </row>
    <row r="829" spans="12:14" ht="15.75" customHeight="1" x14ac:dyDescent="0.2">
      <c r="L829" s="307"/>
      <c r="M829" s="307"/>
      <c r="N829" s="308"/>
    </row>
    <row r="830" spans="12:14" ht="15.75" customHeight="1" x14ac:dyDescent="0.2">
      <c r="L830" s="307"/>
      <c r="M830" s="307"/>
      <c r="N830" s="308"/>
    </row>
    <row r="831" spans="12:14" ht="15.75" customHeight="1" x14ac:dyDescent="0.2">
      <c r="L831" s="307"/>
      <c r="M831" s="307"/>
      <c r="N831" s="308"/>
    </row>
    <row r="832" spans="12:14" ht="15.75" customHeight="1" x14ac:dyDescent="0.2">
      <c r="L832" s="307"/>
      <c r="M832" s="307"/>
      <c r="N832" s="308"/>
    </row>
    <row r="833" spans="12:14" ht="15.75" customHeight="1" x14ac:dyDescent="0.2">
      <c r="L833" s="307"/>
      <c r="M833" s="307"/>
      <c r="N833" s="308"/>
    </row>
    <row r="834" spans="12:14" ht="15.75" customHeight="1" x14ac:dyDescent="0.2">
      <c r="L834" s="307"/>
      <c r="M834" s="307"/>
      <c r="N834" s="308"/>
    </row>
    <row r="835" spans="12:14" ht="15.75" customHeight="1" x14ac:dyDescent="0.2">
      <c r="L835" s="307"/>
      <c r="M835" s="307"/>
      <c r="N835" s="308"/>
    </row>
    <row r="836" spans="12:14" ht="15.75" customHeight="1" x14ac:dyDescent="0.2">
      <c r="L836" s="307"/>
      <c r="M836" s="307"/>
      <c r="N836" s="308"/>
    </row>
    <row r="837" spans="12:14" ht="15.75" customHeight="1" x14ac:dyDescent="0.2">
      <c r="L837" s="307"/>
      <c r="M837" s="307"/>
      <c r="N837" s="308"/>
    </row>
    <row r="838" spans="12:14" ht="15.75" customHeight="1" x14ac:dyDescent="0.2">
      <c r="L838" s="307"/>
      <c r="M838" s="307"/>
      <c r="N838" s="308"/>
    </row>
    <row r="839" spans="12:14" ht="15.75" customHeight="1" x14ac:dyDescent="0.2">
      <c r="L839" s="307"/>
      <c r="M839" s="307"/>
      <c r="N839" s="308"/>
    </row>
    <row r="840" spans="12:14" ht="15.75" customHeight="1" x14ac:dyDescent="0.2">
      <c r="L840" s="307"/>
      <c r="M840" s="307"/>
      <c r="N840" s="308"/>
    </row>
    <row r="841" spans="12:14" ht="15.75" customHeight="1" x14ac:dyDescent="0.2">
      <c r="L841" s="307"/>
      <c r="M841" s="307"/>
      <c r="N841" s="308"/>
    </row>
    <row r="842" spans="12:14" ht="15.75" customHeight="1" x14ac:dyDescent="0.2">
      <c r="L842" s="307"/>
      <c r="M842" s="307"/>
      <c r="N842" s="308"/>
    </row>
    <row r="843" spans="12:14" ht="15.75" customHeight="1" x14ac:dyDescent="0.2">
      <c r="L843" s="307"/>
      <c r="M843" s="307"/>
      <c r="N843" s="308"/>
    </row>
    <row r="844" spans="12:14" ht="15.75" customHeight="1" x14ac:dyDescent="0.2">
      <c r="L844" s="307"/>
      <c r="M844" s="307"/>
      <c r="N844" s="308"/>
    </row>
    <row r="845" spans="12:14" ht="15.75" customHeight="1" x14ac:dyDescent="0.2">
      <c r="L845" s="307"/>
      <c r="M845" s="307"/>
      <c r="N845" s="308"/>
    </row>
    <row r="846" spans="12:14" ht="15.75" customHeight="1" x14ac:dyDescent="0.2">
      <c r="L846" s="307"/>
      <c r="M846" s="307"/>
      <c r="N846" s="308"/>
    </row>
    <row r="847" spans="12:14" ht="15.75" customHeight="1" x14ac:dyDescent="0.2">
      <c r="L847" s="307"/>
      <c r="M847" s="307"/>
      <c r="N847" s="308"/>
    </row>
    <row r="848" spans="12:14" ht="15.75" customHeight="1" x14ac:dyDescent="0.2">
      <c r="L848" s="307"/>
      <c r="M848" s="307"/>
      <c r="N848" s="308"/>
    </row>
    <row r="849" spans="12:14" ht="15.75" customHeight="1" x14ac:dyDescent="0.2">
      <c r="L849" s="307"/>
      <c r="M849" s="307"/>
      <c r="N849" s="308"/>
    </row>
    <row r="850" spans="12:14" ht="15.75" customHeight="1" x14ac:dyDescent="0.2">
      <c r="L850" s="307"/>
      <c r="M850" s="307"/>
      <c r="N850" s="308"/>
    </row>
    <row r="851" spans="12:14" ht="15.75" customHeight="1" x14ac:dyDescent="0.2">
      <c r="L851" s="307"/>
      <c r="M851" s="307"/>
      <c r="N851" s="308"/>
    </row>
    <row r="852" spans="12:14" ht="15.75" customHeight="1" x14ac:dyDescent="0.2">
      <c r="L852" s="307"/>
      <c r="M852" s="307"/>
      <c r="N852" s="308"/>
    </row>
    <row r="853" spans="12:14" ht="15.75" customHeight="1" x14ac:dyDescent="0.2">
      <c r="L853" s="307"/>
      <c r="M853" s="307"/>
      <c r="N853" s="308"/>
    </row>
    <row r="854" spans="12:14" ht="15.75" customHeight="1" x14ac:dyDescent="0.2">
      <c r="L854" s="307"/>
      <c r="M854" s="307"/>
      <c r="N854" s="308"/>
    </row>
    <row r="855" spans="12:14" ht="15.75" customHeight="1" x14ac:dyDescent="0.2">
      <c r="L855" s="307"/>
      <c r="M855" s="307"/>
      <c r="N855" s="308"/>
    </row>
    <row r="856" spans="12:14" ht="15.75" customHeight="1" x14ac:dyDescent="0.2">
      <c r="L856" s="307"/>
      <c r="M856" s="307"/>
      <c r="N856" s="308"/>
    </row>
    <row r="857" spans="12:14" ht="15.75" customHeight="1" x14ac:dyDescent="0.2">
      <c r="L857" s="307"/>
      <c r="M857" s="307"/>
      <c r="N857" s="308"/>
    </row>
    <row r="858" spans="12:14" ht="15.75" customHeight="1" x14ac:dyDescent="0.2">
      <c r="L858" s="307"/>
      <c r="M858" s="307"/>
      <c r="N858" s="308"/>
    </row>
    <row r="859" spans="12:14" ht="15.75" customHeight="1" x14ac:dyDescent="0.2">
      <c r="L859" s="307"/>
      <c r="M859" s="307"/>
      <c r="N859" s="308"/>
    </row>
    <row r="860" spans="12:14" ht="15.75" customHeight="1" x14ac:dyDescent="0.2">
      <c r="L860" s="307"/>
      <c r="M860" s="307"/>
      <c r="N860" s="308"/>
    </row>
    <row r="861" spans="12:14" ht="15.75" customHeight="1" x14ac:dyDescent="0.2">
      <c r="L861" s="307"/>
      <c r="M861" s="307"/>
      <c r="N861" s="308"/>
    </row>
    <row r="862" spans="12:14" ht="15.75" customHeight="1" x14ac:dyDescent="0.2">
      <c r="L862" s="307"/>
      <c r="M862" s="307"/>
      <c r="N862" s="308"/>
    </row>
    <row r="863" spans="12:14" ht="15.75" customHeight="1" x14ac:dyDescent="0.2">
      <c r="L863" s="307"/>
      <c r="M863" s="307"/>
      <c r="N863" s="308"/>
    </row>
    <row r="864" spans="12:14" ht="15.75" customHeight="1" x14ac:dyDescent="0.2">
      <c r="L864" s="307"/>
      <c r="M864" s="307"/>
      <c r="N864" s="308"/>
    </row>
    <row r="865" spans="12:14" ht="15.75" customHeight="1" x14ac:dyDescent="0.2">
      <c r="L865" s="307"/>
      <c r="M865" s="307"/>
      <c r="N865" s="308"/>
    </row>
    <row r="866" spans="12:14" ht="15.75" customHeight="1" x14ac:dyDescent="0.2">
      <c r="L866" s="307"/>
      <c r="M866" s="307"/>
      <c r="N866" s="308"/>
    </row>
    <row r="867" spans="12:14" ht="15.75" customHeight="1" x14ac:dyDescent="0.2">
      <c r="L867" s="307"/>
      <c r="M867" s="307"/>
      <c r="N867" s="308"/>
    </row>
    <row r="868" spans="12:14" ht="15.75" customHeight="1" x14ac:dyDescent="0.2">
      <c r="L868" s="307"/>
      <c r="M868" s="307"/>
      <c r="N868" s="308"/>
    </row>
    <row r="869" spans="12:14" ht="15.75" customHeight="1" x14ac:dyDescent="0.2">
      <c r="L869" s="307"/>
      <c r="M869" s="307"/>
      <c r="N869" s="308"/>
    </row>
    <row r="870" spans="12:14" ht="15.75" customHeight="1" x14ac:dyDescent="0.2">
      <c r="L870" s="307"/>
      <c r="M870" s="307"/>
      <c r="N870" s="308"/>
    </row>
    <row r="871" spans="12:14" ht="15.75" customHeight="1" x14ac:dyDescent="0.2">
      <c r="L871" s="307"/>
      <c r="M871" s="307"/>
      <c r="N871" s="308"/>
    </row>
    <row r="872" spans="12:14" ht="15.75" customHeight="1" x14ac:dyDescent="0.2">
      <c r="L872" s="307"/>
      <c r="M872" s="307"/>
      <c r="N872" s="308"/>
    </row>
    <row r="873" spans="12:14" ht="15.75" customHeight="1" x14ac:dyDescent="0.2">
      <c r="L873" s="307"/>
      <c r="M873" s="307"/>
      <c r="N873" s="308"/>
    </row>
    <row r="874" spans="12:14" ht="15.75" customHeight="1" x14ac:dyDescent="0.2">
      <c r="L874" s="307"/>
      <c r="M874" s="307"/>
      <c r="N874" s="308"/>
    </row>
    <row r="875" spans="12:14" ht="15.75" customHeight="1" x14ac:dyDescent="0.2">
      <c r="L875" s="307"/>
      <c r="M875" s="307"/>
      <c r="N875" s="308"/>
    </row>
    <row r="876" spans="12:14" ht="15.75" customHeight="1" x14ac:dyDescent="0.2">
      <c r="L876" s="307"/>
      <c r="M876" s="307"/>
      <c r="N876" s="308"/>
    </row>
    <row r="877" spans="12:14" ht="15.75" customHeight="1" x14ac:dyDescent="0.2">
      <c r="L877" s="307"/>
      <c r="M877" s="307"/>
      <c r="N877" s="308"/>
    </row>
    <row r="878" spans="12:14" ht="15.75" customHeight="1" x14ac:dyDescent="0.2">
      <c r="L878" s="307"/>
      <c r="M878" s="307"/>
      <c r="N878" s="308"/>
    </row>
    <row r="879" spans="12:14" ht="15.75" customHeight="1" x14ac:dyDescent="0.2">
      <c r="L879" s="307"/>
      <c r="M879" s="307"/>
      <c r="N879" s="308"/>
    </row>
    <row r="880" spans="12:14" ht="15.75" customHeight="1" x14ac:dyDescent="0.2">
      <c r="L880" s="307"/>
      <c r="M880" s="307"/>
      <c r="N880" s="308"/>
    </row>
    <row r="881" spans="12:14" ht="15.75" customHeight="1" x14ac:dyDescent="0.2">
      <c r="L881" s="307"/>
      <c r="M881" s="307"/>
      <c r="N881" s="308"/>
    </row>
    <row r="882" spans="12:14" ht="15.75" customHeight="1" x14ac:dyDescent="0.2">
      <c r="L882" s="307"/>
      <c r="M882" s="307"/>
      <c r="N882" s="308"/>
    </row>
    <row r="883" spans="12:14" ht="15.75" customHeight="1" x14ac:dyDescent="0.2">
      <c r="L883" s="307"/>
      <c r="M883" s="307"/>
      <c r="N883" s="308"/>
    </row>
    <row r="884" spans="12:14" ht="15.75" customHeight="1" x14ac:dyDescent="0.2">
      <c r="L884" s="307"/>
      <c r="M884" s="307"/>
      <c r="N884" s="308"/>
    </row>
    <row r="885" spans="12:14" ht="15.75" customHeight="1" x14ac:dyDescent="0.2">
      <c r="L885" s="307"/>
      <c r="M885" s="307"/>
      <c r="N885" s="308"/>
    </row>
    <row r="886" spans="12:14" ht="15.75" customHeight="1" x14ac:dyDescent="0.2">
      <c r="L886" s="307"/>
      <c r="M886" s="307"/>
      <c r="N886" s="308"/>
    </row>
    <row r="887" spans="12:14" ht="15.75" customHeight="1" x14ac:dyDescent="0.2">
      <c r="L887" s="307"/>
      <c r="M887" s="307"/>
      <c r="N887" s="308"/>
    </row>
    <row r="888" spans="12:14" ht="15.75" customHeight="1" x14ac:dyDescent="0.2">
      <c r="L888" s="307"/>
      <c r="M888" s="307"/>
      <c r="N888" s="308"/>
    </row>
    <row r="889" spans="12:14" ht="15.75" customHeight="1" x14ac:dyDescent="0.2">
      <c r="L889" s="307"/>
      <c r="M889" s="307"/>
      <c r="N889" s="308"/>
    </row>
    <row r="890" spans="12:14" ht="15.75" customHeight="1" x14ac:dyDescent="0.2">
      <c r="L890" s="307"/>
      <c r="M890" s="307"/>
      <c r="N890" s="308"/>
    </row>
    <row r="891" spans="12:14" ht="15.75" customHeight="1" x14ac:dyDescent="0.2">
      <c r="L891" s="307"/>
      <c r="M891" s="307"/>
      <c r="N891" s="308"/>
    </row>
    <row r="892" spans="12:14" ht="15.75" customHeight="1" x14ac:dyDescent="0.2">
      <c r="L892" s="307"/>
      <c r="M892" s="307"/>
      <c r="N892" s="308"/>
    </row>
    <row r="893" spans="12:14" ht="15.75" customHeight="1" x14ac:dyDescent="0.2">
      <c r="L893" s="307"/>
      <c r="M893" s="307"/>
      <c r="N893" s="308"/>
    </row>
    <row r="894" spans="12:14" ht="15.75" customHeight="1" x14ac:dyDescent="0.2">
      <c r="L894" s="307"/>
      <c r="M894" s="307"/>
      <c r="N894" s="308"/>
    </row>
    <row r="895" spans="12:14" ht="15.75" customHeight="1" x14ac:dyDescent="0.2">
      <c r="L895" s="307"/>
      <c r="M895" s="307"/>
      <c r="N895" s="308"/>
    </row>
    <row r="896" spans="12:14" ht="15.75" customHeight="1" x14ac:dyDescent="0.2">
      <c r="L896" s="307"/>
      <c r="M896" s="307"/>
      <c r="N896" s="308"/>
    </row>
    <row r="897" spans="12:14" ht="15.75" customHeight="1" x14ac:dyDescent="0.2">
      <c r="L897" s="307"/>
      <c r="M897" s="307"/>
      <c r="N897" s="308"/>
    </row>
    <row r="898" spans="12:14" ht="15.75" customHeight="1" x14ac:dyDescent="0.2">
      <c r="L898" s="307"/>
      <c r="M898" s="307"/>
      <c r="N898" s="308"/>
    </row>
    <row r="899" spans="12:14" ht="15.75" customHeight="1" x14ac:dyDescent="0.2">
      <c r="L899" s="307"/>
      <c r="M899" s="307"/>
      <c r="N899" s="308"/>
    </row>
    <row r="900" spans="12:14" ht="15.75" customHeight="1" x14ac:dyDescent="0.2">
      <c r="L900" s="307"/>
      <c r="M900" s="307"/>
      <c r="N900" s="308"/>
    </row>
    <row r="901" spans="12:14" ht="15.75" customHeight="1" x14ac:dyDescent="0.2">
      <c r="L901" s="307"/>
      <c r="M901" s="307"/>
      <c r="N901" s="308"/>
    </row>
    <row r="902" spans="12:14" ht="15.75" customHeight="1" x14ac:dyDescent="0.2">
      <c r="L902" s="307"/>
      <c r="M902" s="307"/>
      <c r="N902" s="308"/>
    </row>
    <row r="903" spans="12:14" ht="15.75" customHeight="1" x14ac:dyDescent="0.2">
      <c r="L903" s="307"/>
      <c r="M903" s="307"/>
      <c r="N903" s="308"/>
    </row>
    <row r="904" spans="12:14" ht="15.75" customHeight="1" x14ac:dyDescent="0.2">
      <c r="L904" s="307"/>
      <c r="M904" s="307"/>
      <c r="N904" s="308"/>
    </row>
    <row r="905" spans="12:14" ht="15.75" customHeight="1" x14ac:dyDescent="0.2">
      <c r="L905" s="307"/>
      <c r="M905" s="307"/>
      <c r="N905" s="308"/>
    </row>
    <row r="906" spans="12:14" ht="15.75" customHeight="1" x14ac:dyDescent="0.2">
      <c r="L906" s="307"/>
      <c r="M906" s="307"/>
      <c r="N906" s="308"/>
    </row>
    <row r="907" spans="12:14" ht="15.75" customHeight="1" x14ac:dyDescent="0.2">
      <c r="L907" s="307"/>
      <c r="M907" s="307"/>
      <c r="N907" s="308"/>
    </row>
    <row r="908" spans="12:14" ht="15.75" customHeight="1" x14ac:dyDescent="0.2">
      <c r="L908" s="307"/>
      <c r="M908" s="307"/>
      <c r="N908" s="308"/>
    </row>
    <row r="909" spans="12:14" ht="15.75" customHeight="1" x14ac:dyDescent="0.2">
      <c r="L909" s="307"/>
      <c r="M909" s="307"/>
      <c r="N909" s="308"/>
    </row>
    <row r="910" spans="12:14" ht="15.75" customHeight="1" x14ac:dyDescent="0.2">
      <c r="L910" s="307"/>
      <c r="M910" s="307"/>
      <c r="N910" s="308"/>
    </row>
    <row r="911" spans="12:14" ht="15.75" customHeight="1" x14ac:dyDescent="0.2">
      <c r="L911" s="307"/>
      <c r="M911" s="307"/>
      <c r="N911" s="308"/>
    </row>
    <row r="912" spans="12:14" ht="15.75" customHeight="1" x14ac:dyDescent="0.2">
      <c r="L912" s="307"/>
      <c r="M912" s="307"/>
      <c r="N912" s="308"/>
    </row>
    <row r="913" spans="12:14" ht="15.75" customHeight="1" x14ac:dyDescent="0.2">
      <c r="L913" s="307"/>
      <c r="M913" s="307"/>
      <c r="N913" s="308"/>
    </row>
    <row r="914" spans="12:14" ht="15.75" customHeight="1" x14ac:dyDescent="0.2">
      <c r="L914" s="307"/>
      <c r="M914" s="307"/>
      <c r="N914" s="308"/>
    </row>
    <row r="915" spans="12:14" ht="15.75" customHeight="1" x14ac:dyDescent="0.2">
      <c r="L915" s="307"/>
      <c r="M915" s="307"/>
      <c r="N915" s="308"/>
    </row>
    <row r="916" spans="12:14" ht="15.75" customHeight="1" x14ac:dyDescent="0.2">
      <c r="L916" s="307"/>
      <c r="M916" s="307"/>
      <c r="N916" s="308"/>
    </row>
    <row r="917" spans="12:14" ht="15.75" customHeight="1" x14ac:dyDescent="0.2">
      <c r="L917" s="307"/>
      <c r="M917" s="307"/>
      <c r="N917" s="308"/>
    </row>
    <row r="918" spans="12:14" ht="15.75" customHeight="1" x14ac:dyDescent="0.2">
      <c r="L918" s="307"/>
      <c r="M918" s="307"/>
      <c r="N918" s="308"/>
    </row>
    <row r="919" spans="12:14" ht="15.75" customHeight="1" x14ac:dyDescent="0.2">
      <c r="L919" s="307"/>
      <c r="M919" s="307"/>
      <c r="N919" s="308"/>
    </row>
    <row r="920" spans="12:14" ht="15.75" customHeight="1" x14ac:dyDescent="0.2">
      <c r="L920" s="307"/>
      <c r="M920" s="307"/>
      <c r="N920" s="308"/>
    </row>
    <row r="921" spans="12:14" ht="15.75" customHeight="1" x14ac:dyDescent="0.2">
      <c r="L921" s="307"/>
      <c r="M921" s="307"/>
      <c r="N921" s="308"/>
    </row>
    <row r="922" spans="12:14" ht="15.75" customHeight="1" x14ac:dyDescent="0.2">
      <c r="L922" s="307"/>
      <c r="M922" s="307"/>
      <c r="N922" s="308"/>
    </row>
    <row r="923" spans="12:14" ht="15.75" customHeight="1" x14ac:dyDescent="0.2">
      <c r="L923" s="307"/>
      <c r="M923" s="307"/>
      <c r="N923" s="308"/>
    </row>
    <row r="924" spans="12:14" ht="15.75" customHeight="1" x14ac:dyDescent="0.2">
      <c r="L924" s="307"/>
      <c r="M924" s="307"/>
      <c r="N924" s="308"/>
    </row>
    <row r="925" spans="12:14" ht="15.75" customHeight="1" x14ac:dyDescent="0.2">
      <c r="L925" s="307"/>
      <c r="M925" s="307"/>
      <c r="N925" s="308"/>
    </row>
    <row r="926" spans="12:14" ht="15.75" customHeight="1" x14ac:dyDescent="0.2">
      <c r="L926" s="307"/>
      <c r="M926" s="307"/>
      <c r="N926" s="308"/>
    </row>
    <row r="927" spans="12:14" ht="15.75" customHeight="1" x14ac:dyDescent="0.2">
      <c r="L927" s="307"/>
      <c r="M927" s="307"/>
      <c r="N927" s="308"/>
    </row>
    <row r="928" spans="12:14" ht="15.75" customHeight="1" x14ac:dyDescent="0.2">
      <c r="L928" s="307"/>
      <c r="M928" s="307"/>
      <c r="N928" s="308"/>
    </row>
    <row r="929" spans="12:14" ht="15.75" customHeight="1" x14ac:dyDescent="0.2">
      <c r="L929" s="307"/>
      <c r="M929" s="307"/>
      <c r="N929" s="308"/>
    </row>
    <row r="930" spans="12:14" ht="15.75" customHeight="1" x14ac:dyDescent="0.2">
      <c r="L930" s="307"/>
      <c r="M930" s="307"/>
      <c r="N930" s="308"/>
    </row>
    <row r="931" spans="12:14" ht="15.75" customHeight="1" x14ac:dyDescent="0.2">
      <c r="L931" s="307"/>
      <c r="M931" s="307"/>
      <c r="N931" s="308"/>
    </row>
    <row r="932" spans="12:14" ht="15.75" customHeight="1" x14ac:dyDescent="0.2">
      <c r="L932" s="307"/>
      <c r="M932" s="307"/>
      <c r="N932" s="308"/>
    </row>
    <row r="933" spans="12:14" ht="15.75" customHeight="1" x14ac:dyDescent="0.2">
      <c r="L933" s="307"/>
      <c r="M933" s="307"/>
      <c r="N933" s="308"/>
    </row>
    <row r="934" spans="12:14" ht="15.75" customHeight="1" x14ac:dyDescent="0.2">
      <c r="L934" s="307"/>
      <c r="M934" s="307"/>
      <c r="N934" s="308"/>
    </row>
    <row r="935" spans="12:14" ht="15.75" customHeight="1" x14ac:dyDescent="0.2">
      <c r="L935" s="307"/>
      <c r="M935" s="307"/>
      <c r="N935" s="308"/>
    </row>
    <row r="936" spans="12:14" ht="15.75" customHeight="1" x14ac:dyDescent="0.2">
      <c r="L936" s="307"/>
      <c r="M936" s="307"/>
      <c r="N936" s="308"/>
    </row>
    <row r="937" spans="12:14" ht="15.75" customHeight="1" x14ac:dyDescent="0.2">
      <c r="L937" s="307"/>
      <c r="M937" s="307"/>
      <c r="N937" s="308"/>
    </row>
    <row r="938" spans="12:14" ht="15.75" customHeight="1" x14ac:dyDescent="0.2">
      <c r="L938" s="307"/>
      <c r="M938" s="307"/>
      <c r="N938" s="308"/>
    </row>
    <row r="939" spans="12:14" ht="15.75" customHeight="1" x14ac:dyDescent="0.2">
      <c r="L939" s="307"/>
      <c r="M939" s="307"/>
      <c r="N939" s="308"/>
    </row>
    <row r="940" spans="12:14" ht="15.75" customHeight="1" x14ac:dyDescent="0.2">
      <c r="L940" s="307"/>
      <c r="M940" s="307"/>
      <c r="N940" s="308"/>
    </row>
    <row r="941" spans="12:14" ht="15.75" customHeight="1" x14ac:dyDescent="0.2">
      <c r="L941" s="307"/>
      <c r="M941" s="307"/>
      <c r="N941" s="308"/>
    </row>
    <row r="942" spans="12:14" ht="15.75" customHeight="1" x14ac:dyDescent="0.2">
      <c r="L942" s="307"/>
      <c r="M942" s="307"/>
      <c r="N942" s="308"/>
    </row>
    <row r="943" spans="12:14" ht="15.75" customHeight="1" x14ac:dyDescent="0.2">
      <c r="L943" s="307"/>
      <c r="M943" s="307"/>
      <c r="N943" s="308"/>
    </row>
    <row r="944" spans="12:14" ht="15.75" customHeight="1" x14ac:dyDescent="0.2">
      <c r="L944" s="307"/>
      <c r="M944" s="307"/>
      <c r="N944" s="308"/>
    </row>
    <row r="945" spans="12:14" ht="15.75" customHeight="1" x14ac:dyDescent="0.2">
      <c r="L945" s="307"/>
      <c r="M945" s="307"/>
      <c r="N945" s="308"/>
    </row>
    <row r="946" spans="12:14" ht="15.75" customHeight="1" x14ac:dyDescent="0.2">
      <c r="L946" s="307"/>
      <c r="M946" s="307"/>
      <c r="N946" s="308"/>
    </row>
    <row r="947" spans="12:14" ht="15.75" customHeight="1" x14ac:dyDescent="0.2">
      <c r="L947" s="307"/>
      <c r="M947" s="307"/>
      <c r="N947" s="308"/>
    </row>
    <row r="948" spans="12:14" ht="15.75" customHeight="1" x14ac:dyDescent="0.2">
      <c r="L948" s="307"/>
      <c r="M948" s="307"/>
      <c r="N948" s="308"/>
    </row>
    <row r="949" spans="12:14" ht="15.75" customHeight="1" x14ac:dyDescent="0.2">
      <c r="L949" s="307"/>
      <c r="M949" s="307"/>
      <c r="N949" s="308"/>
    </row>
    <row r="950" spans="12:14" ht="15.75" customHeight="1" x14ac:dyDescent="0.2">
      <c r="L950" s="307"/>
      <c r="M950" s="307"/>
      <c r="N950" s="308"/>
    </row>
    <row r="951" spans="12:14" ht="15.75" customHeight="1" x14ac:dyDescent="0.2">
      <c r="L951" s="307"/>
      <c r="M951" s="307"/>
      <c r="N951" s="308"/>
    </row>
    <row r="952" spans="12:14" ht="15.75" customHeight="1" x14ac:dyDescent="0.2">
      <c r="L952" s="307"/>
      <c r="M952" s="307"/>
      <c r="N952" s="308"/>
    </row>
    <row r="953" spans="12:14" ht="15.75" customHeight="1" x14ac:dyDescent="0.2">
      <c r="L953" s="307"/>
      <c r="M953" s="307"/>
      <c r="N953" s="308"/>
    </row>
    <row r="954" spans="12:14" ht="15.75" customHeight="1" x14ac:dyDescent="0.2">
      <c r="L954" s="307"/>
      <c r="M954" s="307"/>
      <c r="N954" s="308"/>
    </row>
    <row r="955" spans="12:14" ht="15.75" customHeight="1" x14ac:dyDescent="0.2">
      <c r="L955" s="307"/>
      <c r="M955" s="307"/>
      <c r="N955" s="308"/>
    </row>
    <row r="956" spans="12:14" ht="15.75" customHeight="1" x14ac:dyDescent="0.2">
      <c r="L956" s="307"/>
      <c r="M956" s="307"/>
      <c r="N956" s="308"/>
    </row>
    <row r="957" spans="12:14" ht="15.75" customHeight="1" x14ac:dyDescent="0.2">
      <c r="L957" s="307"/>
      <c r="M957" s="307"/>
      <c r="N957" s="308"/>
    </row>
    <row r="958" spans="12:14" ht="15.75" customHeight="1" x14ac:dyDescent="0.2">
      <c r="L958" s="307"/>
      <c r="M958" s="307"/>
      <c r="N958" s="308"/>
    </row>
    <row r="959" spans="12:14" ht="15.75" customHeight="1" x14ac:dyDescent="0.2">
      <c r="L959" s="307"/>
      <c r="M959" s="307"/>
      <c r="N959" s="308"/>
    </row>
    <row r="960" spans="12:14" ht="15.75" customHeight="1" x14ac:dyDescent="0.2">
      <c r="L960" s="307"/>
      <c r="M960" s="307"/>
      <c r="N960" s="308"/>
    </row>
    <row r="961" spans="12:14" ht="15.75" customHeight="1" x14ac:dyDescent="0.2">
      <c r="L961" s="307"/>
      <c r="M961" s="307"/>
      <c r="N961" s="308"/>
    </row>
    <row r="962" spans="12:14" ht="15.75" customHeight="1" x14ac:dyDescent="0.2">
      <c r="L962" s="307"/>
      <c r="M962" s="307"/>
      <c r="N962" s="308"/>
    </row>
    <row r="963" spans="12:14" ht="15.75" customHeight="1" x14ac:dyDescent="0.2">
      <c r="L963" s="307"/>
      <c r="M963" s="307"/>
      <c r="N963" s="308"/>
    </row>
    <row r="964" spans="12:14" ht="15.75" customHeight="1" x14ac:dyDescent="0.2">
      <c r="L964" s="307"/>
      <c r="M964" s="307"/>
      <c r="N964" s="308"/>
    </row>
    <row r="965" spans="12:14" ht="15.75" customHeight="1" x14ac:dyDescent="0.2">
      <c r="L965" s="307"/>
      <c r="M965" s="307"/>
      <c r="N965" s="308"/>
    </row>
    <row r="966" spans="12:14" ht="15.75" customHeight="1" x14ac:dyDescent="0.2">
      <c r="L966" s="307"/>
      <c r="M966" s="307"/>
      <c r="N966" s="308"/>
    </row>
    <row r="967" spans="12:14" ht="15.75" customHeight="1" x14ac:dyDescent="0.2">
      <c r="L967" s="307"/>
      <c r="M967" s="307"/>
      <c r="N967" s="308"/>
    </row>
    <row r="968" spans="12:14" ht="15.75" customHeight="1" x14ac:dyDescent="0.2">
      <c r="L968" s="307"/>
      <c r="M968" s="307"/>
      <c r="N968" s="308"/>
    </row>
    <row r="969" spans="12:14" ht="15.75" customHeight="1" x14ac:dyDescent="0.2">
      <c r="L969" s="307"/>
      <c r="M969" s="307"/>
      <c r="N969" s="308"/>
    </row>
    <row r="970" spans="12:14" ht="15.75" customHeight="1" x14ac:dyDescent="0.2">
      <c r="L970" s="307"/>
      <c r="M970" s="307"/>
      <c r="N970" s="308"/>
    </row>
    <row r="971" spans="12:14" ht="15.75" customHeight="1" x14ac:dyDescent="0.2">
      <c r="L971" s="307"/>
      <c r="M971" s="307"/>
      <c r="N971" s="308"/>
    </row>
    <row r="972" spans="12:14" ht="15.75" customHeight="1" x14ac:dyDescent="0.2">
      <c r="L972" s="307"/>
      <c r="M972" s="307"/>
      <c r="N972" s="308"/>
    </row>
    <row r="973" spans="12:14" ht="15.75" customHeight="1" x14ac:dyDescent="0.2">
      <c r="L973" s="307"/>
      <c r="M973" s="307"/>
      <c r="N973" s="308"/>
    </row>
    <row r="974" spans="12:14" ht="15.75" customHeight="1" x14ac:dyDescent="0.2">
      <c r="L974" s="307"/>
      <c r="M974" s="307"/>
      <c r="N974" s="308"/>
    </row>
    <row r="975" spans="12:14" ht="15.75" customHeight="1" x14ac:dyDescent="0.2">
      <c r="L975" s="307"/>
      <c r="M975" s="307"/>
      <c r="N975" s="308"/>
    </row>
    <row r="976" spans="12:14" ht="15.75" customHeight="1" x14ac:dyDescent="0.2">
      <c r="L976" s="307"/>
      <c r="M976" s="307"/>
      <c r="N976" s="308"/>
    </row>
    <row r="977" spans="12:14" ht="15.75" customHeight="1" x14ac:dyDescent="0.2">
      <c r="L977" s="307"/>
      <c r="M977" s="307"/>
      <c r="N977" s="308"/>
    </row>
    <row r="978" spans="12:14" ht="15.75" customHeight="1" x14ac:dyDescent="0.2">
      <c r="L978" s="307"/>
      <c r="M978" s="307"/>
      <c r="N978" s="308"/>
    </row>
    <row r="979" spans="12:14" ht="15.75" customHeight="1" x14ac:dyDescent="0.2">
      <c r="L979" s="307"/>
      <c r="M979" s="307"/>
      <c r="N979" s="308"/>
    </row>
    <row r="980" spans="12:14" ht="15.75" customHeight="1" x14ac:dyDescent="0.2">
      <c r="L980" s="307"/>
      <c r="M980" s="307"/>
      <c r="N980" s="308"/>
    </row>
    <row r="981" spans="12:14" ht="15.75" customHeight="1" x14ac:dyDescent="0.2">
      <c r="L981" s="307"/>
      <c r="M981" s="307"/>
      <c r="N981" s="308"/>
    </row>
    <row r="982" spans="12:14" ht="15.75" customHeight="1" x14ac:dyDescent="0.2">
      <c r="L982" s="307"/>
      <c r="M982" s="307"/>
      <c r="N982" s="308"/>
    </row>
    <row r="983" spans="12:14" ht="15.75" customHeight="1" x14ac:dyDescent="0.2">
      <c r="L983" s="307"/>
      <c r="M983" s="307"/>
      <c r="N983" s="308"/>
    </row>
    <row r="984" spans="12:14" ht="15.75" customHeight="1" x14ac:dyDescent="0.2">
      <c r="L984" s="307"/>
      <c r="M984" s="307"/>
      <c r="N984" s="308"/>
    </row>
    <row r="985" spans="12:14" ht="15.75" customHeight="1" x14ac:dyDescent="0.2">
      <c r="L985" s="307"/>
      <c r="M985" s="307"/>
      <c r="N985" s="308"/>
    </row>
    <row r="986" spans="12:14" ht="15.75" customHeight="1" x14ac:dyDescent="0.2">
      <c r="L986" s="307"/>
      <c r="M986" s="307"/>
      <c r="N986" s="308"/>
    </row>
    <row r="987" spans="12:14" ht="15.75" customHeight="1" x14ac:dyDescent="0.2">
      <c r="L987" s="307"/>
      <c r="M987" s="307"/>
      <c r="N987" s="308"/>
    </row>
    <row r="988" spans="12:14" ht="15.75" customHeight="1" x14ac:dyDescent="0.2">
      <c r="L988" s="307"/>
      <c r="M988" s="307"/>
      <c r="N988" s="308"/>
    </row>
    <row r="989" spans="12:14" ht="15.75" customHeight="1" x14ac:dyDescent="0.2">
      <c r="L989" s="307"/>
      <c r="M989" s="307"/>
      <c r="N989" s="308"/>
    </row>
    <row r="990" spans="12:14" ht="15.75" customHeight="1" x14ac:dyDescent="0.2">
      <c r="L990" s="307"/>
      <c r="M990" s="307"/>
      <c r="N990" s="308"/>
    </row>
    <row r="991" spans="12:14" ht="15.75" customHeight="1" x14ac:dyDescent="0.2">
      <c r="L991" s="307"/>
      <c r="M991" s="307"/>
      <c r="N991" s="308"/>
    </row>
    <row r="992" spans="12:14" ht="15.75" customHeight="1" x14ac:dyDescent="0.2">
      <c r="L992" s="307"/>
      <c r="M992" s="307"/>
      <c r="N992" s="308"/>
    </row>
    <row r="993" spans="12:14" ht="15.75" customHeight="1" x14ac:dyDescent="0.2">
      <c r="L993" s="307"/>
      <c r="M993" s="307"/>
      <c r="N993" s="308"/>
    </row>
    <row r="994" spans="12:14" ht="15.75" customHeight="1" x14ac:dyDescent="0.2">
      <c r="L994" s="307"/>
      <c r="M994" s="307"/>
      <c r="N994" s="308"/>
    </row>
    <row r="995" spans="12:14" ht="15.75" customHeight="1" x14ac:dyDescent="0.2">
      <c r="L995" s="307"/>
      <c r="M995" s="307"/>
      <c r="N995" s="308"/>
    </row>
    <row r="996" spans="12:14" ht="15.75" customHeight="1" x14ac:dyDescent="0.2">
      <c r="L996" s="307"/>
      <c r="M996" s="307"/>
      <c r="N996" s="308"/>
    </row>
    <row r="997" spans="12:14" ht="15.75" customHeight="1" x14ac:dyDescent="0.2">
      <c r="L997" s="307"/>
      <c r="M997" s="307"/>
      <c r="N997" s="308"/>
    </row>
    <row r="998" spans="12:14" ht="15.75" customHeight="1" x14ac:dyDescent="0.2">
      <c r="L998" s="307"/>
      <c r="M998" s="307"/>
      <c r="N998" s="308"/>
    </row>
    <row r="999" spans="12:14" ht="15.75" customHeight="1" x14ac:dyDescent="0.2">
      <c r="L999" s="307"/>
      <c r="M999" s="307"/>
      <c r="N999" s="308"/>
    </row>
    <row r="1000" spans="12:14" ht="15.75" customHeight="1" x14ac:dyDescent="0.2">
      <c r="L1000" s="307"/>
      <c r="M1000" s="307"/>
      <c r="N1000" s="308"/>
    </row>
    <row r="1001" spans="12:14" ht="15.75" customHeight="1" x14ac:dyDescent="0.2">
      <c r="L1001" s="307"/>
      <c r="M1001" s="307"/>
      <c r="N1001" s="308"/>
    </row>
    <row r="1002" spans="12:14" ht="15.75" customHeight="1" x14ac:dyDescent="0.2">
      <c r="L1002" s="307"/>
      <c r="M1002" s="307"/>
      <c r="N1002" s="308"/>
    </row>
    <row r="1003" spans="12:14" ht="15.75" customHeight="1" x14ac:dyDescent="0.2">
      <c r="L1003" s="307"/>
      <c r="M1003" s="307"/>
      <c r="N1003" s="308"/>
    </row>
    <row r="1004" spans="12:14" ht="15.75" customHeight="1" x14ac:dyDescent="0.2">
      <c r="L1004" s="307"/>
      <c r="M1004" s="307"/>
      <c r="N1004" s="308"/>
    </row>
    <row r="1005" spans="12:14" ht="15.75" customHeight="1" x14ac:dyDescent="0.2">
      <c r="L1005" s="307"/>
      <c r="M1005" s="307"/>
      <c r="N1005" s="308"/>
    </row>
  </sheetData>
  <pageMargins left="0.25" right="0.25" top="0.75" bottom="0.75" header="0" footer="0"/>
  <pageSetup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625" defaultRowHeight="15" customHeight="1" x14ac:dyDescent="0.2"/>
  <cols>
    <col min="1" max="1" width="41" customWidth="1"/>
    <col min="2" max="4" width="10.75" hidden="1" customWidth="1"/>
    <col min="5" max="5" width="11.125" hidden="1" customWidth="1"/>
    <col min="6" max="6" width="10.75" hidden="1" customWidth="1"/>
    <col min="7" max="7" width="13.625" customWidth="1"/>
    <col min="8" max="8" width="10.75" hidden="1" customWidth="1"/>
    <col min="9" max="9" width="10.25" customWidth="1"/>
    <col min="10" max="10" width="12.625" customWidth="1"/>
    <col min="11" max="11" width="9.375" customWidth="1"/>
    <col min="12" max="12" width="9.75" customWidth="1"/>
    <col min="13" max="13" width="7.625" customWidth="1"/>
    <col min="14" max="14" width="9.75" customWidth="1"/>
    <col min="15" max="27" width="7.625" customWidth="1"/>
  </cols>
  <sheetData>
    <row r="1" spans="1:27" ht="57" x14ac:dyDescent="0.25">
      <c r="A1" s="1"/>
      <c r="B1" s="1"/>
      <c r="C1" s="1"/>
      <c r="D1" s="1"/>
      <c r="E1" s="5" t="s">
        <v>497</v>
      </c>
      <c r="F1" s="5" t="s">
        <v>498</v>
      </c>
      <c r="G1" s="5" t="s">
        <v>499</v>
      </c>
      <c r="H1" s="309" t="s">
        <v>500</v>
      </c>
      <c r="I1" s="5" t="s">
        <v>501</v>
      </c>
      <c r="J1" s="7" t="s">
        <v>5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1.5" x14ac:dyDescent="0.25">
      <c r="A2" s="11"/>
      <c r="B2" s="12" t="s">
        <v>9</v>
      </c>
      <c r="C2" s="12" t="s">
        <v>10</v>
      </c>
      <c r="D2" s="12" t="s">
        <v>11</v>
      </c>
      <c r="E2" s="12" t="s">
        <v>12</v>
      </c>
      <c r="F2" s="12" t="s">
        <v>13</v>
      </c>
      <c r="G2" s="13" t="s">
        <v>16</v>
      </c>
      <c r="H2" s="12" t="s">
        <v>502</v>
      </c>
      <c r="I2" s="12" t="s">
        <v>15</v>
      </c>
      <c r="J2" s="15" t="s">
        <v>18</v>
      </c>
      <c r="K2" s="19" t="s">
        <v>22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x14ac:dyDescent="0.25">
      <c r="A3" s="20" t="s">
        <v>23</v>
      </c>
      <c r="B3" s="21"/>
      <c r="C3" s="21"/>
      <c r="D3" s="21"/>
      <c r="E3" s="21"/>
      <c r="F3" s="22"/>
      <c r="G3" s="22"/>
      <c r="H3" s="21"/>
      <c r="I3" s="22"/>
      <c r="J3" s="2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x14ac:dyDescent="0.25">
      <c r="A4" s="27" t="s">
        <v>24</v>
      </c>
      <c r="B4" s="28"/>
      <c r="C4" s="28"/>
      <c r="D4" s="28"/>
      <c r="E4" s="28"/>
      <c r="F4" s="28"/>
      <c r="G4" s="29"/>
      <c r="H4" s="28"/>
      <c r="I4" s="28"/>
      <c r="J4" s="31">
        <f>'FY21 w YOY comp'!K4</f>
        <v>33757</v>
      </c>
      <c r="K4" s="39" t="s">
        <v>503</v>
      </c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ht="15.75" x14ac:dyDescent="0.25">
      <c r="A5" s="27" t="s">
        <v>27</v>
      </c>
      <c r="B5" s="29">
        <f>236200.04</f>
        <v>236200.04</v>
      </c>
      <c r="C5" s="29">
        <f>246451.31</f>
        <v>246451.31</v>
      </c>
      <c r="D5" s="29">
        <f>259618.66</f>
        <v>259618.66</v>
      </c>
      <c r="E5" s="29">
        <f>255282.23</f>
        <v>255282.23</v>
      </c>
      <c r="F5" s="29">
        <f>249416.3</f>
        <v>249416.3</v>
      </c>
      <c r="G5" s="29">
        <f>262600</f>
        <v>262600</v>
      </c>
      <c r="H5" s="29">
        <f>225136.07</f>
        <v>225136.07</v>
      </c>
      <c r="I5" s="29">
        <f>'FY21 w YOY comp'!H5</f>
        <v>248643.19</v>
      </c>
      <c r="J5" s="31">
        <f>'FY21 w YOY comp'!K5</f>
        <v>261904.16013333335</v>
      </c>
      <c r="K5" s="39" t="s">
        <v>504</v>
      </c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</row>
    <row r="6" spans="1:27" ht="15.75" customHeight="1" x14ac:dyDescent="0.25">
      <c r="A6" s="27" t="s">
        <v>30</v>
      </c>
      <c r="B6" s="40"/>
      <c r="C6" s="40"/>
      <c r="D6" s="40"/>
      <c r="E6" s="40"/>
      <c r="F6" s="41">
        <f>30400</f>
        <v>30400</v>
      </c>
      <c r="G6" s="42"/>
      <c r="H6" s="41">
        <f>30400</f>
        <v>30400</v>
      </c>
      <c r="I6" s="42">
        <f>H6</f>
        <v>30400</v>
      </c>
      <c r="J6" s="37">
        <f>'FY21 w YOY comp'!K6</f>
        <v>0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7" ht="15.75" hidden="1" customHeight="1" x14ac:dyDescent="0.25">
      <c r="A7" s="46" t="s">
        <v>31</v>
      </c>
      <c r="B7" s="47">
        <f>250.63</f>
        <v>250.63</v>
      </c>
      <c r="C7" s="47">
        <f>1432.5</f>
        <v>1432.5</v>
      </c>
      <c r="D7" s="47">
        <f>1540.67</f>
        <v>1540.67</v>
      </c>
      <c r="E7" s="47">
        <f>100.1</f>
        <v>100.1</v>
      </c>
      <c r="F7" s="47">
        <f>0.04</f>
        <v>0.04</v>
      </c>
      <c r="G7" s="22"/>
      <c r="H7" s="21"/>
      <c r="I7" s="22"/>
      <c r="J7" s="24">
        <f>'FY21 w YOY comp'!K7</f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hidden="1" customHeight="1" x14ac:dyDescent="0.25">
      <c r="A8" s="48" t="s">
        <v>32</v>
      </c>
      <c r="B8" s="49"/>
      <c r="C8" s="50">
        <f>354.09</f>
        <v>354.09</v>
      </c>
      <c r="D8" s="49"/>
      <c r="E8" s="50">
        <f>884.09</f>
        <v>884.09</v>
      </c>
      <c r="F8" s="50">
        <f>911.49</f>
        <v>911.49</v>
      </c>
      <c r="G8" s="50">
        <f>850</f>
        <v>850</v>
      </c>
      <c r="H8" s="50">
        <f>441.56</f>
        <v>441.56</v>
      </c>
      <c r="I8" s="50">
        <f>H8</f>
        <v>441.56</v>
      </c>
      <c r="J8" s="24">
        <f>'FY21 w YOY comp'!K8</f>
        <v>500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ht="15.75" hidden="1" customHeight="1" x14ac:dyDescent="0.25">
      <c r="A9" s="48" t="s">
        <v>34</v>
      </c>
      <c r="B9" s="50">
        <f>-143.89</f>
        <v>-143.88999999999999</v>
      </c>
      <c r="C9" s="49"/>
      <c r="D9" s="50">
        <f>208.76</f>
        <v>208.76</v>
      </c>
      <c r="E9" s="50">
        <f>260</f>
        <v>260</v>
      </c>
      <c r="F9" s="50">
        <f>52</f>
        <v>52</v>
      </c>
      <c r="G9" s="50">
        <f>208</f>
        <v>208</v>
      </c>
      <c r="H9" s="49"/>
      <c r="I9" s="50"/>
      <c r="J9" s="24">
        <f>'FY21 w YOY comp'!K9</f>
        <v>250</v>
      </c>
      <c r="K9" s="53" t="s">
        <v>35</v>
      </c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15.75" hidden="1" customHeight="1" x14ac:dyDescent="0.25">
      <c r="A10" s="48" t="s">
        <v>36</v>
      </c>
      <c r="B10" s="50">
        <f>35482.06</f>
        <v>35482.06</v>
      </c>
      <c r="C10" s="50">
        <f>34395.41</f>
        <v>34395.410000000003</v>
      </c>
      <c r="D10" s="50">
        <f>39807.35</f>
        <v>39807.35</v>
      </c>
      <c r="E10" s="50">
        <f>47927.31</f>
        <v>47927.31</v>
      </c>
      <c r="F10" s="50">
        <f>33790.88</f>
        <v>33790.879999999997</v>
      </c>
      <c r="G10" s="50">
        <f>55000</f>
        <v>55000</v>
      </c>
      <c r="H10" s="50">
        <f>31288.66</f>
        <v>31288.66</v>
      </c>
      <c r="I10" s="50">
        <f t="shared" ref="I10:I11" si="0">(H10/11)*12</f>
        <v>34133.083636363634</v>
      </c>
      <c r="J10" s="24">
        <f>'FY21 w YOY comp'!K10</f>
        <v>52000</v>
      </c>
      <c r="K10" s="53" t="s">
        <v>505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15.75" hidden="1" customHeight="1" x14ac:dyDescent="0.25">
      <c r="A11" s="48" t="s">
        <v>38</v>
      </c>
      <c r="B11" s="50">
        <f>2370.23</f>
        <v>2370.23</v>
      </c>
      <c r="C11" s="50">
        <f>1847.19</f>
        <v>1847.19</v>
      </c>
      <c r="D11" s="50">
        <f>1456.59</f>
        <v>1456.59</v>
      </c>
      <c r="E11" s="50">
        <f>1803.81</f>
        <v>1803.81</v>
      </c>
      <c r="F11" s="50">
        <f>1867.21</f>
        <v>1867.21</v>
      </c>
      <c r="G11" s="50">
        <f>2100</f>
        <v>2100</v>
      </c>
      <c r="H11" s="50">
        <f>1232.36</f>
        <v>1232.3599999999999</v>
      </c>
      <c r="I11" s="50">
        <f t="shared" si="0"/>
        <v>1344.3927272727271</v>
      </c>
      <c r="J11" s="24">
        <f>'FY21 w YOY comp'!K11</f>
        <v>1500</v>
      </c>
      <c r="K11" s="53" t="s">
        <v>39</v>
      </c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15.75" hidden="1" customHeight="1" x14ac:dyDescent="0.25">
      <c r="A12" s="48" t="s">
        <v>42</v>
      </c>
      <c r="B12" s="49"/>
      <c r="C12" s="49"/>
      <c r="D12" s="49"/>
      <c r="E12" s="49"/>
      <c r="F12" s="50">
        <f>132</f>
        <v>132</v>
      </c>
      <c r="G12" s="50">
        <f>400</f>
        <v>400</v>
      </c>
      <c r="H12" s="50">
        <f>132</f>
        <v>132</v>
      </c>
      <c r="I12" s="50">
        <f>H12</f>
        <v>132</v>
      </c>
      <c r="J12" s="24">
        <f>'FY21 w YOY comp'!K13</f>
        <v>120</v>
      </c>
      <c r="K12" s="53" t="s">
        <v>43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15.75" customHeight="1" x14ac:dyDescent="0.25">
      <c r="A13" s="27" t="s">
        <v>45</v>
      </c>
      <c r="B13" s="65">
        <f t="shared" ref="B13:F13" si="1">SUM(B7:B12)</f>
        <v>37959.03</v>
      </c>
      <c r="C13" s="65">
        <f t="shared" si="1"/>
        <v>38029.19</v>
      </c>
      <c r="D13" s="65">
        <f t="shared" si="1"/>
        <v>43013.369999999995</v>
      </c>
      <c r="E13" s="65">
        <f t="shared" si="1"/>
        <v>50975.31</v>
      </c>
      <c r="F13" s="65">
        <f t="shared" si="1"/>
        <v>36753.619999999995</v>
      </c>
      <c r="G13" s="65">
        <f>SUM(G8:G12)</f>
        <v>58558</v>
      </c>
      <c r="H13" s="65">
        <f>SUM(H7:H12)</f>
        <v>33094.58</v>
      </c>
      <c r="I13" s="65">
        <f>'FY21 w YOY comp'!H15</f>
        <v>36622.119999999995</v>
      </c>
      <c r="J13" s="67">
        <f>'FY21 w YOY comp'!K15</f>
        <v>54370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1:27" ht="15.75" hidden="1" customHeight="1" x14ac:dyDescent="0.25">
      <c r="A14" s="48" t="s">
        <v>46</v>
      </c>
      <c r="B14" s="49"/>
      <c r="C14" s="49"/>
      <c r="D14" s="49"/>
      <c r="E14" s="49"/>
      <c r="F14" s="55"/>
      <c r="G14" s="22"/>
      <c r="H14" s="49"/>
      <c r="I14" s="55"/>
      <c r="J14" s="24">
        <f>'FY21 w YOY comp'!K16</f>
        <v>0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ht="15.75" hidden="1" customHeight="1" x14ac:dyDescent="0.25">
      <c r="A15" s="48" t="s">
        <v>47</v>
      </c>
      <c r="B15" s="50">
        <f>1925</f>
        <v>1925</v>
      </c>
      <c r="C15" s="50">
        <f>3470</f>
        <v>3470</v>
      </c>
      <c r="D15" s="50">
        <f>5036</f>
        <v>5036</v>
      </c>
      <c r="E15" s="50">
        <f>4922.37</f>
        <v>4922.37</v>
      </c>
      <c r="F15" s="50">
        <f>200</f>
        <v>200</v>
      </c>
      <c r="G15" s="50">
        <f>5000</f>
        <v>5000</v>
      </c>
      <c r="H15" s="49"/>
      <c r="I15" s="50"/>
      <c r="J15" s="24">
        <f>'FY21 w YOY comp'!K17</f>
        <v>5000</v>
      </c>
      <c r="K15" s="53" t="s">
        <v>49</v>
      </c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ht="15.75" hidden="1" customHeight="1" x14ac:dyDescent="0.25">
      <c r="A16" s="48" t="s">
        <v>50</v>
      </c>
      <c r="B16" s="50">
        <f>496.56</f>
        <v>496.56</v>
      </c>
      <c r="C16" s="50">
        <f>691.53</f>
        <v>691.53</v>
      </c>
      <c r="D16" s="50">
        <f>855.4</f>
        <v>855.4</v>
      </c>
      <c r="E16" s="50">
        <f>819.68</f>
        <v>819.68</v>
      </c>
      <c r="F16" s="50">
        <f>524.3</f>
        <v>524.29999999999995</v>
      </c>
      <c r="G16" s="50">
        <f>850</f>
        <v>850</v>
      </c>
      <c r="H16" s="50">
        <f>412.1</f>
        <v>412.1</v>
      </c>
      <c r="I16" s="50">
        <f>(H16/11)*12</f>
        <v>449.56363636363642</v>
      </c>
      <c r="J16" s="24">
        <f>'FY21 w YOY comp'!K18</f>
        <v>600</v>
      </c>
      <c r="K16" s="53" t="s">
        <v>51</v>
      </c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15.75" hidden="1" customHeight="1" x14ac:dyDescent="0.25">
      <c r="A17" s="48" t="s">
        <v>52</v>
      </c>
      <c r="B17" s="50">
        <f>20</f>
        <v>20</v>
      </c>
      <c r="C17" s="49"/>
      <c r="D17" s="50">
        <f>10</f>
        <v>10</v>
      </c>
      <c r="E17" s="49"/>
      <c r="F17" s="55"/>
      <c r="G17" s="50"/>
      <c r="H17" s="49"/>
      <c r="I17" s="50"/>
      <c r="J17" s="24">
        <f>'FY21 w YOY comp'!K19</f>
        <v>0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ht="15.75" hidden="1" customHeight="1" x14ac:dyDescent="0.25">
      <c r="A18" s="48" t="s">
        <v>53</v>
      </c>
      <c r="B18" s="50">
        <f>533</f>
        <v>533</v>
      </c>
      <c r="C18" s="50">
        <f>1805</f>
        <v>1805</v>
      </c>
      <c r="D18" s="50">
        <f>100</f>
        <v>100</v>
      </c>
      <c r="E18" s="50">
        <f>200</f>
        <v>200</v>
      </c>
      <c r="F18" s="55"/>
      <c r="G18" s="50">
        <f>550</f>
        <v>550</v>
      </c>
      <c r="H18" s="49">
        <f>250</f>
        <v>250</v>
      </c>
      <c r="I18" s="50">
        <f>(H18/11)*12</f>
        <v>272.72727272727275</v>
      </c>
      <c r="J18" s="24">
        <f>'FY21 w YOY comp'!K20</f>
        <v>250</v>
      </c>
      <c r="K18" s="53" t="s">
        <v>55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15.75" hidden="1" customHeight="1" x14ac:dyDescent="0.25">
      <c r="A19" s="48" t="s">
        <v>56</v>
      </c>
      <c r="B19" s="49"/>
      <c r="C19" s="50">
        <f>0</f>
        <v>0</v>
      </c>
      <c r="D19" s="50">
        <f>691.28</f>
        <v>691.28</v>
      </c>
      <c r="E19" s="49"/>
      <c r="F19" s="55"/>
      <c r="G19" s="22"/>
      <c r="H19" s="49"/>
      <c r="I19" s="55"/>
      <c r="J19" s="24">
        <f>'FY21 w YOY comp'!K21</f>
        <v>0</v>
      </c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15.75" hidden="1" customHeight="1" x14ac:dyDescent="0.25">
      <c r="A20" s="48" t="s">
        <v>57</v>
      </c>
      <c r="B20" s="49"/>
      <c r="C20" s="50">
        <f>43.5</f>
        <v>43.5</v>
      </c>
      <c r="D20" s="50">
        <f>33.85</f>
        <v>33.85</v>
      </c>
      <c r="E20" s="49"/>
      <c r="F20" s="55"/>
      <c r="G20" s="55"/>
      <c r="H20" s="49"/>
      <c r="I20" s="55"/>
      <c r="J20" s="73">
        <f>'FY21 w YOY comp'!K22</f>
        <v>0</v>
      </c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15.75" hidden="1" customHeight="1" x14ac:dyDescent="0.25">
      <c r="A21" s="48" t="s">
        <v>58</v>
      </c>
      <c r="B21" s="50">
        <f>560</f>
        <v>560</v>
      </c>
      <c r="C21" s="50">
        <f>373</f>
        <v>373</v>
      </c>
      <c r="D21" s="50">
        <f>90</f>
        <v>90</v>
      </c>
      <c r="E21" s="50">
        <f>1450</f>
        <v>1450</v>
      </c>
      <c r="F21" s="50">
        <f>2590.01</f>
        <v>2590.0100000000002</v>
      </c>
      <c r="G21" s="55"/>
      <c r="H21" s="50">
        <v>5701</v>
      </c>
      <c r="I21" s="55">
        <f t="shared" ref="I21:I22" si="2">(H21/11)*12</f>
        <v>6219.272727272727</v>
      </c>
      <c r="J21" s="73">
        <f>'FY21 w YOY comp'!K23</f>
        <v>0</v>
      </c>
      <c r="K21" s="53" t="s">
        <v>59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15.75" hidden="1" customHeight="1" x14ac:dyDescent="0.25">
      <c r="A22" s="48" t="s">
        <v>60</v>
      </c>
      <c r="B22" s="50">
        <f>15</f>
        <v>15</v>
      </c>
      <c r="C22" s="50">
        <f>373.38</f>
        <v>373.38</v>
      </c>
      <c r="D22" s="49"/>
      <c r="E22" s="49"/>
      <c r="F22" s="55"/>
      <c r="G22" s="55"/>
      <c r="H22" s="49">
        <f>2011.98</f>
        <v>2011.98</v>
      </c>
      <c r="I22" s="55">
        <f t="shared" si="2"/>
        <v>2194.8872727272728</v>
      </c>
      <c r="J22" s="73">
        <f>'FY21 w YOY comp'!K24</f>
        <v>0</v>
      </c>
      <c r="K22" s="78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15.75" hidden="1" customHeight="1" x14ac:dyDescent="0.25">
      <c r="A23" s="79" t="s">
        <v>61</v>
      </c>
      <c r="B23" s="80">
        <f>651</f>
        <v>651</v>
      </c>
      <c r="C23" s="80">
        <f>5230</f>
        <v>5230</v>
      </c>
      <c r="D23" s="81"/>
      <c r="E23" s="81"/>
      <c r="F23" s="82"/>
      <c r="G23" s="55"/>
      <c r="H23" s="81"/>
      <c r="I23" s="55"/>
      <c r="J23" s="73">
        <f>'FY21 w YOY comp'!K25</f>
        <v>0</v>
      </c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</row>
    <row r="24" spans="1:27" ht="15.75" hidden="1" customHeight="1" x14ac:dyDescent="0.25">
      <c r="A24" s="83" t="s">
        <v>62</v>
      </c>
      <c r="B24" s="84"/>
      <c r="C24" s="84"/>
      <c r="D24" s="85">
        <f>3525</f>
        <v>3525</v>
      </c>
      <c r="E24" s="85">
        <f t="shared" ref="E24:G24" si="3">4000</f>
        <v>4000</v>
      </c>
      <c r="F24" s="85">
        <f t="shared" si="3"/>
        <v>4000</v>
      </c>
      <c r="G24" s="86">
        <f t="shared" si="3"/>
        <v>4000</v>
      </c>
      <c r="H24" s="85">
        <f>5000</f>
        <v>5000</v>
      </c>
      <c r="I24" s="86">
        <f>H24</f>
        <v>5000</v>
      </c>
      <c r="J24" s="87">
        <f>'FY21 w YOY comp'!K26</f>
        <v>0</v>
      </c>
      <c r="K24" s="90" t="s">
        <v>63</v>
      </c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</row>
    <row r="25" spans="1:27" ht="15.75" hidden="1" customHeight="1" x14ac:dyDescent="0.25">
      <c r="A25" s="83" t="s">
        <v>64</v>
      </c>
      <c r="B25" s="84"/>
      <c r="C25" s="84"/>
      <c r="D25" s="85">
        <f>140</f>
        <v>140</v>
      </c>
      <c r="E25" s="84"/>
      <c r="F25" s="86"/>
      <c r="G25" s="86"/>
      <c r="H25" s="84"/>
      <c r="I25" s="86"/>
      <c r="J25" s="87">
        <f>'FY21 w YOY comp'!K27</f>
        <v>0</v>
      </c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</row>
    <row r="26" spans="1:27" ht="15.75" hidden="1" customHeight="1" x14ac:dyDescent="0.25">
      <c r="A26" s="83" t="s">
        <v>65</v>
      </c>
      <c r="B26" s="84"/>
      <c r="C26" s="84"/>
      <c r="D26" s="85">
        <f>85</f>
        <v>85</v>
      </c>
      <c r="E26" s="84"/>
      <c r="F26" s="85">
        <f>67.87</f>
        <v>67.87</v>
      </c>
      <c r="G26" s="86"/>
      <c r="H26" s="85">
        <f>67.87</f>
        <v>67.87</v>
      </c>
      <c r="I26" s="86">
        <f>(H26/11)*12</f>
        <v>74.040000000000006</v>
      </c>
      <c r="J26" s="87">
        <f>'FY21 w YOY comp'!K28</f>
        <v>0</v>
      </c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</row>
    <row r="27" spans="1:27" ht="15.75" hidden="1" customHeight="1" x14ac:dyDescent="0.25">
      <c r="A27" s="83" t="s">
        <v>67</v>
      </c>
      <c r="B27" s="84"/>
      <c r="C27" s="84"/>
      <c r="D27" s="85">
        <f>36</f>
        <v>36</v>
      </c>
      <c r="E27" s="85">
        <f>234</f>
        <v>234</v>
      </c>
      <c r="F27" s="85">
        <f>26</f>
        <v>26</v>
      </c>
      <c r="G27" s="86"/>
      <c r="H27" s="84"/>
      <c r="I27" s="86"/>
      <c r="J27" s="87">
        <f>'FY21 w YOY comp'!K29</f>
        <v>0</v>
      </c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</row>
    <row r="28" spans="1:27" ht="15.75" hidden="1" customHeight="1" x14ac:dyDescent="0.25">
      <c r="A28" s="83" t="s">
        <v>69</v>
      </c>
      <c r="B28" s="84"/>
      <c r="C28" s="84"/>
      <c r="D28" s="85">
        <f>84</f>
        <v>84</v>
      </c>
      <c r="E28" s="85">
        <f>925</f>
        <v>925</v>
      </c>
      <c r="F28" s="85">
        <f>100</f>
        <v>100</v>
      </c>
      <c r="G28" s="86">
        <f>1300</f>
        <v>1300</v>
      </c>
      <c r="H28" s="85">
        <f>100</f>
        <v>100</v>
      </c>
      <c r="I28" s="86">
        <f>(H28/11)*12</f>
        <v>109.09090909090909</v>
      </c>
      <c r="J28" s="87">
        <f>'FY21 w YOY comp'!K30</f>
        <v>0</v>
      </c>
      <c r="K28" s="90" t="s">
        <v>70</v>
      </c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</row>
    <row r="29" spans="1:27" ht="15.75" hidden="1" customHeight="1" x14ac:dyDescent="0.25">
      <c r="A29" s="83" t="s">
        <v>71</v>
      </c>
      <c r="B29" s="84"/>
      <c r="C29" s="84"/>
      <c r="D29" s="85">
        <f>40</f>
        <v>40</v>
      </c>
      <c r="E29" s="84"/>
      <c r="F29" s="86"/>
      <c r="G29" s="86"/>
      <c r="H29" s="84"/>
      <c r="I29" s="86"/>
      <c r="J29" s="87">
        <f>'FY21 w YOY comp'!K31</f>
        <v>0</v>
      </c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</row>
    <row r="30" spans="1:27" ht="15.75" hidden="1" customHeight="1" x14ac:dyDescent="0.25">
      <c r="A30" s="83" t="s">
        <v>73</v>
      </c>
      <c r="B30" s="84"/>
      <c r="C30" s="84"/>
      <c r="D30" s="84"/>
      <c r="E30" s="84"/>
      <c r="F30" s="85">
        <f>1375</f>
        <v>1375</v>
      </c>
      <c r="G30" s="86"/>
      <c r="H30" s="85">
        <f>2628</f>
        <v>2628</v>
      </c>
      <c r="I30" s="86">
        <f t="shared" ref="I30:I31" si="4">(H30/11)*12</f>
        <v>2866.909090909091</v>
      </c>
      <c r="J30" s="87">
        <f>'FY21 w YOY comp'!K32</f>
        <v>2000</v>
      </c>
      <c r="K30" s="53" t="s">
        <v>74</v>
      </c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</row>
    <row r="31" spans="1:27" ht="15.75" hidden="1" customHeight="1" x14ac:dyDescent="0.25">
      <c r="A31" s="83" t="s">
        <v>75</v>
      </c>
      <c r="B31" s="84"/>
      <c r="C31" s="84"/>
      <c r="D31" s="85">
        <f>384</f>
        <v>384</v>
      </c>
      <c r="E31" s="85">
        <f>248.71</f>
        <v>248.71</v>
      </c>
      <c r="F31" s="85">
        <f>84.51</f>
        <v>84.51</v>
      </c>
      <c r="G31" s="86"/>
      <c r="H31" s="85">
        <f>315</f>
        <v>315</v>
      </c>
      <c r="I31" s="86">
        <f t="shared" si="4"/>
        <v>343.63636363636363</v>
      </c>
      <c r="J31" s="87">
        <f>'FY21 w YOY comp'!K33</f>
        <v>0</v>
      </c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</row>
    <row r="32" spans="1:27" ht="15.75" hidden="1" customHeight="1" x14ac:dyDescent="0.25">
      <c r="A32" s="48" t="s">
        <v>76</v>
      </c>
      <c r="B32" s="95">
        <f t="shared" ref="B32:I32" si="5">SUM(B23:B31)</f>
        <v>651</v>
      </c>
      <c r="C32" s="95">
        <f t="shared" si="5"/>
        <v>5230</v>
      </c>
      <c r="D32" s="95">
        <f t="shared" si="5"/>
        <v>4294</v>
      </c>
      <c r="E32" s="95">
        <f t="shared" si="5"/>
        <v>5407.71</v>
      </c>
      <c r="F32" s="95">
        <f t="shared" si="5"/>
        <v>5653.38</v>
      </c>
      <c r="G32" s="96">
        <f t="shared" si="5"/>
        <v>5300</v>
      </c>
      <c r="H32" s="95">
        <f t="shared" si="5"/>
        <v>8110.87</v>
      </c>
      <c r="I32" s="95">
        <f t="shared" si="5"/>
        <v>8393.676363636363</v>
      </c>
      <c r="J32" s="98">
        <f>'FY21 w YOY comp'!K34</f>
        <v>2000</v>
      </c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15.75" hidden="1" customHeight="1" x14ac:dyDescent="0.25">
      <c r="A33" s="48" t="s">
        <v>77</v>
      </c>
      <c r="B33" s="49"/>
      <c r="C33" s="50">
        <f>284.9</f>
        <v>284.89999999999998</v>
      </c>
      <c r="D33" s="50">
        <f>20</f>
        <v>20</v>
      </c>
      <c r="E33" s="49"/>
      <c r="F33" s="55"/>
      <c r="G33" s="22"/>
      <c r="H33" s="49"/>
      <c r="I33" s="55"/>
      <c r="J33" s="24">
        <f>'FY21 w YOY comp'!K35</f>
        <v>0</v>
      </c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15.75" hidden="1" customHeight="1" x14ac:dyDescent="0.25">
      <c r="A34" s="48" t="s">
        <v>78</v>
      </c>
      <c r="B34" s="50">
        <f>570</f>
        <v>570</v>
      </c>
      <c r="C34" s="50">
        <f>625</f>
        <v>625</v>
      </c>
      <c r="D34" s="50">
        <f>631</f>
        <v>631</v>
      </c>
      <c r="E34" s="50">
        <f>723.78</f>
        <v>723.78</v>
      </c>
      <c r="F34" s="50">
        <f>484.37</f>
        <v>484.37</v>
      </c>
      <c r="G34" s="22">
        <f>675</f>
        <v>675</v>
      </c>
      <c r="H34" s="50">
        <f>95</f>
        <v>95</v>
      </c>
      <c r="I34" s="22">
        <f>H34</f>
        <v>95</v>
      </c>
      <c r="J34" s="24">
        <f>'FY21 w YOY comp'!K36</f>
        <v>375</v>
      </c>
      <c r="K34" s="53" t="s">
        <v>80</v>
      </c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.75" hidden="1" customHeight="1" x14ac:dyDescent="0.25">
      <c r="A35" s="48" t="s">
        <v>81</v>
      </c>
      <c r="B35" s="50">
        <f>13.33</f>
        <v>13.33</v>
      </c>
      <c r="C35" s="50">
        <f>165.33</f>
        <v>165.33</v>
      </c>
      <c r="D35" s="50">
        <f>86.77</f>
        <v>86.77</v>
      </c>
      <c r="E35" s="50">
        <f>277.91</f>
        <v>277.91000000000003</v>
      </c>
      <c r="F35" s="50">
        <f>180.07</f>
        <v>180.07</v>
      </c>
      <c r="G35" s="22">
        <f>100</f>
        <v>100</v>
      </c>
      <c r="H35" s="50">
        <f>178.26</f>
        <v>178.26</v>
      </c>
      <c r="I35" s="22">
        <f>(H35/10)*12</f>
        <v>213.91200000000001</v>
      </c>
      <c r="J35" s="24">
        <f>'FY21 w YOY comp'!K37</f>
        <v>730</v>
      </c>
      <c r="K35" s="53" t="s">
        <v>82</v>
      </c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15.75" customHeight="1" x14ac:dyDescent="0.25">
      <c r="A36" s="27" t="s">
        <v>86</v>
      </c>
      <c r="B36" s="65">
        <f t="shared" ref="B36:H36" si="6">SUM(B15:B22)+SUM(B32:B35)</f>
        <v>4783.8899999999994</v>
      </c>
      <c r="C36" s="65">
        <f t="shared" si="6"/>
        <v>13061.64</v>
      </c>
      <c r="D36" s="65">
        <f t="shared" si="6"/>
        <v>11848.3</v>
      </c>
      <c r="E36" s="65">
        <f t="shared" si="6"/>
        <v>13801.45</v>
      </c>
      <c r="F36" s="65">
        <f t="shared" si="6"/>
        <v>9632.130000000001</v>
      </c>
      <c r="G36" s="65">
        <f t="shared" si="6"/>
        <v>12475</v>
      </c>
      <c r="H36" s="65">
        <f t="shared" si="6"/>
        <v>16759.21</v>
      </c>
      <c r="I36" s="65">
        <f>'FY21 w YOY comp'!H40</f>
        <v>16971.379999999997</v>
      </c>
      <c r="J36" s="67">
        <f>'FY21 w YOY comp'!K40</f>
        <v>8955</v>
      </c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</row>
    <row r="37" spans="1:27" ht="15.75" hidden="1" customHeight="1" x14ac:dyDescent="0.25">
      <c r="A37" s="46" t="s">
        <v>87</v>
      </c>
      <c r="B37" s="21"/>
      <c r="C37" s="21"/>
      <c r="D37" s="21"/>
      <c r="E37" s="21"/>
      <c r="F37" s="22"/>
      <c r="G37" s="22">
        <f>950+300</f>
        <v>1250</v>
      </c>
      <c r="H37" s="21"/>
      <c r="I37" s="22"/>
      <c r="J37" s="24">
        <f>'FY21 w YOY comp'!K41</f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25">
      <c r="A38" s="27" t="s">
        <v>94</v>
      </c>
      <c r="B38" s="65">
        <f t="shared" ref="B38:F38" si="7">SUM(B37)</f>
        <v>0</v>
      </c>
      <c r="C38" s="65">
        <f t="shared" si="7"/>
        <v>0</v>
      </c>
      <c r="D38" s="65">
        <f t="shared" si="7"/>
        <v>0</v>
      </c>
      <c r="E38" s="65">
        <f t="shared" si="7"/>
        <v>0</v>
      </c>
      <c r="F38" s="65">
        <f t="shared" si="7"/>
        <v>0</v>
      </c>
      <c r="G38" s="65">
        <f>G37</f>
        <v>1250</v>
      </c>
      <c r="H38" s="65">
        <f>SUM(H37)</f>
        <v>0</v>
      </c>
      <c r="I38" s="65">
        <f>'FY21 w YOY comp'!H48</f>
        <v>950</v>
      </c>
      <c r="J38" s="67">
        <f>'FY21 w YOY comp'!K48</f>
        <v>0</v>
      </c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</row>
    <row r="39" spans="1:27" ht="15.75" hidden="1" customHeight="1" x14ac:dyDescent="0.25">
      <c r="A39" s="48" t="s">
        <v>95</v>
      </c>
      <c r="B39" s="49"/>
      <c r="C39" s="49"/>
      <c r="D39" s="49"/>
      <c r="E39" s="49"/>
      <c r="F39" s="55"/>
      <c r="G39" s="22"/>
      <c r="H39" s="49"/>
      <c r="I39" s="55"/>
      <c r="J39" s="24">
        <f>'FY21 w YOY comp'!K49</f>
        <v>0</v>
      </c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5.75" hidden="1" customHeight="1" x14ac:dyDescent="0.25">
      <c r="A40" s="48" t="s">
        <v>96</v>
      </c>
      <c r="B40" s="50"/>
      <c r="C40" s="50"/>
      <c r="D40" s="50"/>
      <c r="E40" s="50"/>
      <c r="F40" s="50"/>
      <c r="G40" s="50"/>
      <c r="H40" s="49"/>
      <c r="I40" s="50"/>
      <c r="J40" s="24">
        <f>'FY21 w YOY comp'!K50</f>
        <v>16297</v>
      </c>
      <c r="K40" s="53" t="s">
        <v>506</v>
      </c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15.75" hidden="1" customHeight="1" x14ac:dyDescent="0.25">
      <c r="A41" s="48" t="s">
        <v>99</v>
      </c>
      <c r="B41" s="50"/>
      <c r="C41" s="50"/>
      <c r="D41" s="50"/>
      <c r="E41" s="50"/>
      <c r="F41" s="50"/>
      <c r="G41" s="50"/>
      <c r="H41" s="49"/>
      <c r="I41" s="50"/>
      <c r="J41" s="24">
        <f>'FY21 w YOY comp'!K51</f>
        <v>30499</v>
      </c>
      <c r="K41" s="53" t="s">
        <v>507</v>
      </c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15.75" customHeight="1" x14ac:dyDescent="0.25">
      <c r="A42" s="27" t="s">
        <v>102</v>
      </c>
      <c r="B42" s="65"/>
      <c r="C42" s="65"/>
      <c r="D42" s="65"/>
      <c r="E42" s="65"/>
      <c r="F42" s="65"/>
      <c r="G42" s="65"/>
      <c r="H42" s="65"/>
      <c r="I42" s="65"/>
      <c r="J42" s="67">
        <f>'FY21 w YOY comp'!K52</f>
        <v>46796</v>
      </c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1:27" ht="15.75" customHeight="1" x14ac:dyDescent="0.25">
      <c r="A43" s="108" t="s">
        <v>103</v>
      </c>
      <c r="B43" s="109">
        <f t="shared" ref="B43:F43" si="8">SUM(B5)+SUM(B6)+B13+B36+B38</f>
        <v>278942.96000000002</v>
      </c>
      <c r="C43" s="109">
        <f t="shared" si="8"/>
        <v>297542.14</v>
      </c>
      <c r="D43" s="109">
        <f t="shared" si="8"/>
        <v>314480.33</v>
      </c>
      <c r="E43" s="109">
        <f t="shared" si="8"/>
        <v>320058.99000000005</v>
      </c>
      <c r="F43" s="109">
        <f t="shared" si="8"/>
        <v>326202.05</v>
      </c>
      <c r="G43" s="109">
        <f>SUM(G5,G13,G36,G38)</f>
        <v>334883</v>
      </c>
      <c r="H43" s="109">
        <f t="shared" ref="H43:I43" si="9">SUM(H5)+SUM(H6)+H13+H36+H38</f>
        <v>305389.86000000004</v>
      </c>
      <c r="I43" s="109">
        <f t="shared" si="9"/>
        <v>333586.69</v>
      </c>
      <c r="J43" s="111">
        <f>'FY21 w YOY comp'!K53</f>
        <v>405782.16013333335</v>
      </c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ht="15.75" customHeight="1" x14ac:dyDescent="0.25">
      <c r="A44" s="20"/>
      <c r="B44" s="116"/>
      <c r="C44" s="116"/>
      <c r="D44" s="116"/>
      <c r="E44" s="116"/>
      <c r="F44" s="116"/>
      <c r="G44" s="22"/>
      <c r="H44" s="116"/>
      <c r="I44" s="22"/>
      <c r="J44" s="24">
        <f>'FY21 w YOY comp'!K54</f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5">
      <c r="A45" s="117" t="s">
        <v>104</v>
      </c>
      <c r="B45" s="118">
        <f t="shared" ref="B45:I45" si="10">(B43)-(0)</f>
        <v>278942.96000000002</v>
      </c>
      <c r="C45" s="118">
        <f t="shared" si="10"/>
        <v>297542.14</v>
      </c>
      <c r="D45" s="118">
        <f t="shared" si="10"/>
        <v>314480.33</v>
      </c>
      <c r="E45" s="118">
        <f t="shared" si="10"/>
        <v>320058.99000000005</v>
      </c>
      <c r="F45" s="118">
        <f t="shared" si="10"/>
        <v>326202.05</v>
      </c>
      <c r="G45" s="118">
        <f t="shared" si="10"/>
        <v>334883</v>
      </c>
      <c r="H45" s="118">
        <f t="shared" si="10"/>
        <v>305389.86000000004</v>
      </c>
      <c r="I45" s="118">
        <f t="shared" si="10"/>
        <v>333586.69</v>
      </c>
      <c r="J45" s="120">
        <f>'FY21 w YOY comp'!K55</f>
        <v>405782.16013333335</v>
      </c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</row>
    <row r="46" spans="1:27" ht="15.75" customHeight="1" x14ac:dyDescent="0.25">
      <c r="A46" s="20"/>
      <c r="B46" s="21"/>
      <c r="C46" s="21"/>
      <c r="D46" s="21"/>
      <c r="E46" s="21"/>
      <c r="F46" s="22"/>
      <c r="G46" s="22"/>
      <c r="H46" s="21"/>
      <c r="I46" s="22"/>
      <c r="J46" s="24">
        <f>'FY21 w YOY comp'!K56</f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20" t="s">
        <v>105</v>
      </c>
      <c r="B47" s="21"/>
      <c r="C47" s="21"/>
      <c r="D47" s="21"/>
      <c r="E47" s="21"/>
      <c r="F47" s="22"/>
      <c r="G47" s="22"/>
      <c r="H47" s="21"/>
      <c r="I47" s="22"/>
      <c r="J47" s="24">
        <f>'FY21 w YOY comp'!K57</f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5">
      <c r="A48" s="122" t="s">
        <v>107</v>
      </c>
      <c r="B48" s="123">
        <f>180</f>
        <v>180</v>
      </c>
      <c r="C48" s="123">
        <f>0</f>
        <v>0</v>
      </c>
      <c r="D48" s="123">
        <f>165</f>
        <v>165</v>
      </c>
      <c r="E48" s="123">
        <f>0</f>
        <v>0</v>
      </c>
      <c r="F48" s="124"/>
      <c r="G48" s="124"/>
      <c r="H48" s="125"/>
      <c r="I48" s="124"/>
      <c r="J48" s="127">
        <f>'FY21 w YOY comp'!K59</f>
        <v>0</v>
      </c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</row>
    <row r="49" spans="1:27" ht="15.75" customHeight="1" x14ac:dyDescent="0.25">
      <c r="A49" s="133" t="s">
        <v>109</v>
      </c>
      <c r="B49" s="134"/>
      <c r="C49" s="134"/>
      <c r="D49" s="134"/>
      <c r="E49" s="134"/>
      <c r="F49" s="135"/>
      <c r="G49" s="135"/>
      <c r="H49" s="134"/>
      <c r="I49" s="135"/>
      <c r="J49" s="137">
        <f>'FY21 w YOY comp'!K60</f>
        <v>0</v>
      </c>
      <c r="K49" s="310" t="s">
        <v>508</v>
      </c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</row>
    <row r="50" spans="1:27" ht="15.75" customHeight="1" x14ac:dyDescent="0.25">
      <c r="A50" s="133" t="s">
        <v>111</v>
      </c>
      <c r="B50" s="143">
        <f>22714.56</f>
        <v>22714.560000000001</v>
      </c>
      <c r="C50" s="143">
        <f>24672</f>
        <v>24672</v>
      </c>
      <c r="D50" s="143">
        <f>26496</f>
        <v>26496</v>
      </c>
      <c r="E50" s="143">
        <f>28704</f>
        <v>28704</v>
      </c>
      <c r="F50" s="143">
        <f>29896</f>
        <v>29896</v>
      </c>
      <c r="G50" s="135">
        <f>30492</f>
        <v>30492</v>
      </c>
      <c r="H50" s="143">
        <f>27951</f>
        <v>27951</v>
      </c>
      <c r="I50" s="135">
        <f>'FY21 w YOY comp'!H61</f>
        <v>30492</v>
      </c>
      <c r="J50" s="137">
        <f>'FY21 w YOY comp'!K61</f>
        <v>32928</v>
      </c>
      <c r="K50" s="311"/>
      <c r="L50" s="311" t="s">
        <v>509</v>
      </c>
      <c r="M50" s="148">
        <v>100866</v>
      </c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</row>
    <row r="51" spans="1:27" ht="15.75" customHeight="1" x14ac:dyDescent="0.25">
      <c r="A51" s="133" t="s">
        <v>114</v>
      </c>
      <c r="B51" s="143">
        <f>2343.46</f>
        <v>2343.46</v>
      </c>
      <c r="C51" s="143">
        <f>2293.17</f>
        <v>2293.17</v>
      </c>
      <c r="D51" s="143">
        <f>2318.31</f>
        <v>2318.31</v>
      </c>
      <c r="E51" s="143">
        <f>2397.05</f>
        <v>2397.0500000000002</v>
      </c>
      <c r="F51" s="143">
        <f>2428.18</f>
        <v>2428.1799999999998</v>
      </c>
      <c r="G51" s="135">
        <f>2445.45</f>
        <v>2445.4499999999998</v>
      </c>
      <c r="H51" s="143">
        <f>2238.23</f>
        <v>2238.23</v>
      </c>
      <c r="I51" s="135">
        <f>'FY21 w YOY comp'!H62</f>
        <v>2442.02</v>
      </c>
      <c r="J51" s="137">
        <f>'FY21 w YOY comp'!K62</f>
        <v>611.37</v>
      </c>
      <c r="K51" s="311"/>
      <c r="L51" s="311" t="s">
        <v>510</v>
      </c>
      <c r="M51" s="148">
        <f>M50/12*10</f>
        <v>84055</v>
      </c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</row>
    <row r="52" spans="1:27" ht="15.75" hidden="1" customHeight="1" x14ac:dyDescent="0.25">
      <c r="A52" s="83" t="s">
        <v>117</v>
      </c>
      <c r="B52" s="85">
        <f>40085.8</f>
        <v>40085.800000000003</v>
      </c>
      <c r="C52" s="85">
        <f>43429.69</f>
        <v>43429.69</v>
      </c>
      <c r="D52" s="85">
        <f>44205.76</f>
        <v>44205.760000000002</v>
      </c>
      <c r="E52" s="85">
        <f>45652.38</f>
        <v>45652.38</v>
      </c>
      <c r="F52" s="85">
        <f>46492.7</f>
        <v>46492.7</v>
      </c>
      <c r="G52" s="86">
        <f>48820</f>
        <v>48820</v>
      </c>
      <c r="H52" s="85">
        <f>43043.02</f>
        <v>43043.02</v>
      </c>
      <c r="I52" s="85">
        <f t="shared" ref="I52:I54" si="11">(H52/11)*12</f>
        <v>46956.021818181813</v>
      </c>
      <c r="J52" s="87">
        <f>'FY21 w YOY comp'!K63</f>
        <v>59524.992413686326</v>
      </c>
      <c r="K52" s="312"/>
      <c r="M52" s="313">
        <f>(M50/1.0765)-M57</f>
        <v>62342.095680445884</v>
      </c>
      <c r="N52" s="313">
        <v>48820</v>
      </c>
      <c r="O52" s="1"/>
      <c r="P52" s="1"/>
      <c r="Q52" s="1"/>
      <c r="R52" s="90"/>
      <c r="S52" s="90"/>
      <c r="T52" s="90"/>
      <c r="U52" s="90"/>
      <c r="V52" s="90"/>
      <c r="W52" s="90"/>
      <c r="X52" s="90"/>
      <c r="Y52" s="90"/>
      <c r="Z52" s="90"/>
      <c r="AA52" s="90"/>
    </row>
    <row r="53" spans="1:27" ht="15.75" hidden="1" customHeight="1" x14ac:dyDescent="0.25">
      <c r="A53" s="83" t="s">
        <v>119</v>
      </c>
      <c r="B53" s="85">
        <f>96.72</f>
        <v>96.72</v>
      </c>
      <c r="C53" s="85">
        <f>96.97</f>
        <v>96.97</v>
      </c>
      <c r="D53" s="85">
        <f>102.97</f>
        <v>102.97</v>
      </c>
      <c r="E53" s="85">
        <f>108.97</f>
        <v>108.97</v>
      </c>
      <c r="F53" s="85">
        <f>112.97</f>
        <v>112.97</v>
      </c>
      <c r="G53" s="86"/>
      <c r="H53" s="85">
        <f>105.16</f>
        <v>105.16</v>
      </c>
      <c r="I53" s="85">
        <f t="shared" si="11"/>
        <v>114.72</v>
      </c>
      <c r="J53" s="87">
        <f>'FY21 w YOY comp'!K64</f>
        <v>0</v>
      </c>
      <c r="K53" s="16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</row>
    <row r="54" spans="1:27" ht="15.75" hidden="1" customHeight="1" x14ac:dyDescent="0.25">
      <c r="A54" s="83" t="s">
        <v>121</v>
      </c>
      <c r="B54" s="85">
        <f>499.92</f>
        <v>499.92</v>
      </c>
      <c r="C54" s="85">
        <f>770.83</f>
        <v>770.83</v>
      </c>
      <c r="D54" s="85">
        <f>1020.68</f>
        <v>1020.68</v>
      </c>
      <c r="E54" s="85">
        <f t="shared" ref="E54:F54" si="12">1500</f>
        <v>1500</v>
      </c>
      <c r="F54" s="85">
        <f t="shared" si="12"/>
        <v>1500</v>
      </c>
      <c r="G54" s="86"/>
      <c r="H54" s="85">
        <f>1375</f>
        <v>1375</v>
      </c>
      <c r="I54" s="85">
        <f t="shared" si="11"/>
        <v>1500</v>
      </c>
      <c r="J54" s="87">
        <f>'FY21 w YOY comp'!K65</f>
        <v>0</v>
      </c>
      <c r="K54" s="16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</row>
    <row r="55" spans="1:27" ht="15.75" hidden="1" customHeight="1" x14ac:dyDescent="0.25">
      <c r="A55" s="83" t="s">
        <v>122</v>
      </c>
      <c r="B55" s="85">
        <f>999.84</f>
        <v>999.84</v>
      </c>
      <c r="C55" s="85">
        <f>729.17</f>
        <v>729.17</v>
      </c>
      <c r="D55" s="85">
        <f t="shared" ref="D55:E55" si="13">499.92</f>
        <v>499.92</v>
      </c>
      <c r="E55" s="85">
        <f t="shared" si="13"/>
        <v>499.92</v>
      </c>
      <c r="F55" s="85">
        <f>354.11</f>
        <v>354.11</v>
      </c>
      <c r="G55" s="86"/>
      <c r="H55" s="85">
        <f>187.47</f>
        <v>187.47</v>
      </c>
      <c r="I55" s="85">
        <f>H55</f>
        <v>187.47</v>
      </c>
      <c r="J55" s="87">
        <f>'FY21 w YOY comp'!K66</f>
        <v>0</v>
      </c>
      <c r="K55" s="16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</row>
    <row r="56" spans="1:27" ht="15.75" customHeight="1" x14ac:dyDescent="0.25">
      <c r="A56" s="133" t="s">
        <v>123</v>
      </c>
      <c r="B56" s="161">
        <f t="shared" ref="B56:H56" si="14">SUM(B52:B55)</f>
        <v>41682.28</v>
      </c>
      <c r="C56" s="161">
        <f t="shared" si="14"/>
        <v>45026.66</v>
      </c>
      <c r="D56" s="161">
        <f t="shared" si="14"/>
        <v>45829.33</v>
      </c>
      <c r="E56" s="161">
        <f t="shared" si="14"/>
        <v>47761.27</v>
      </c>
      <c r="F56" s="161">
        <f t="shared" si="14"/>
        <v>48459.78</v>
      </c>
      <c r="G56" s="161">
        <f t="shared" si="14"/>
        <v>48820</v>
      </c>
      <c r="H56" s="161">
        <f t="shared" si="14"/>
        <v>44710.65</v>
      </c>
      <c r="I56" s="161">
        <f>'FY21 w YOY comp'!H67</f>
        <v>49093.990000000005</v>
      </c>
      <c r="J56" s="314">
        <f>'FY21 w YOY comp'!K67</f>
        <v>59524.992413686326</v>
      </c>
      <c r="K56" s="142"/>
      <c r="L56" s="142"/>
      <c r="M56" s="315">
        <f>SUM(M52:M55)</f>
        <v>62342.095680445884</v>
      </c>
      <c r="N56" s="135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</row>
    <row r="57" spans="1:27" ht="15.75" customHeight="1" x14ac:dyDescent="0.25">
      <c r="A57" s="133" t="s">
        <v>125</v>
      </c>
      <c r="B57" s="143">
        <f>14166.68</f>
        <v>14166.68</v>
      </c>
      <c r="C57" s="143">
        <f t="shared" ref="C57:G57" si="15">12000</f>
        <v>12000</v>
      </c>
      <c r="D57" s="143">
        <f t="shared" si="15"/>
        <v>12000</v>
      </c>
      <c r="E57" s="143">
        <f t="shared" si="15"/>
        <v>12000</v>
      </c>
      <c r="F57" s="143">
        <f t="shared" si="15"/>
        <v>12000</v>
      </c>
      <c r="G57" s="135">
        <f t="shared" si="15"/>
        <v>12000</v>
      </c>
      <c r="H57" s="143">
        <f>11000</f>
        <v>11000</v>
      </c>
      <c r="I57" s="135">
        <f>'FY21 w YOY comp'!H68</f>
        <v>12000</v>
      </c>
      <c r="J57" s="137">
        <f>'FY21 w YOY comp'!K68</f>
        <v>27323.5</v>
      </c>
      <c r="K57" s="142"/>
      <c r="L57" s="142"/>
      <c r="M57" s="177">
        <v>31356</v>
      </c>
      <c r="N57" s="135">
        <v>12000</v>
      </c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</row>
    <row r="58" spans="1:27" ht="15.75" customHeight="1" x14ac:dyDescent="0.25">
      <c r="A58" s="133" t="s">
        <v>126</v>
      </c>
      <c r="B58" s="143">
        <f>9372.14</f>
        <v>9372.14</v>
      </c>
      <c r="C58" s="143">
        <f>9095.64</f>
        <v>9095.64</v>
      </c>
      <c r="D58" s="143">
        <f>9274.11</f>
        <v>9274.11</v>
      </c>
      <c r="E58" s="143">
        <f>9588.72</f>
        <v>9588.7199999999993</v>
      </c>
      <c r="F58" s="143">
        <f>9712.85</f>
        <v>9712.85</v>
      </c>
      <c r="G58" s="167">
        <f>9781.8</f>
        <v>9781.7999999999993</v>
      </c>
      <c r="H58" s="143">
        <f>8952.86</f>
        <v>8952.86</v>
      </c>
      <c r="I58" s="135">
        <f>'FY21 w YOY comp'!H69</f>
        <v>9768.01</v>
      </c>
      <c r="J58" s="168">
        <f>'FY21 w YOY comp'!K69</f>
        <v>11523.39</v>
      </c>
      <c r="K58" s="310"/>
      <c r="L58" s="142"/>
      <c r="M58" s="310"/>
      <c r="N58" s="149">
        <v>815.15</v>
      </c>
      <c r="O58" s="135" t="s">
        <v>127</v>
      </c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</row>
    <row r="59" spans="1:27" ht="15.75" customHeight="1" x14ac:dyDescent="0.25">
      <c r="A59" s="133" t="s">
        <v>511</v>
      </c>
      <c r="B59" s="143">
        <f>3514.55</f>
        <v>3514.55</v>
      </c>
      <c r="C59" s="143">
        <f>3030.45</f>
        <v>3030.45</v>
      </c>
      <c r="D59" s="143">
        <f>3091.37</f>
        <v>3091.37</v>
      </c>
      <c r="E59" s="143">
        <f>2716.9</f>
        <v>2716.9</v>
      </c>
      <c r="F59" s="143">
        <f>2385.74</f>
        <v>2385.7399999999998</v>
      </c>
      <c r="G59" s="167">
        <f>2363.88</f>
        <v>2363.88</v>
      </c>
      <c r="H59" s="143">
        <f>1925.82</f>
        <v>1925.82</v>
      </c>
      <c r="I59" s="135">
        <f>'FY21 w YOY comp'!H70</f>
        <v>2075.2600000000002</v>
      </c>
      <c r="J59" s="168">
        <f>'FY21 w YOY comp'!K70</f>
        <v>2112.6089999999999</v>
      </c>
      <c r="K59" s="310"/>
      <c r="L59" s="142"/>
      <c r="M59" s="310"/>
      <c r="N59" s="149">
        <f>101.89+47.55</f>
        <v>149.44</v>
      </c>
      <c r="O59" s="135" t="s">
        <v>127</v>
      </c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</row>
    <row r="60" spans="1:27" ht="15.75" customHeight="1" x14ac:dyDescent="0.25">
      <c r="A60" s="133" t="s">
        <v>131</v>
      </c>
      <c r="B60" s="143">
        <f>4272.95</f>
        <v>4272.95</v>
      </c>
      <c r="C60" s="143">
        <f>4363.25</f>
        <v>4363.25</v>
      </c>
      <c r="D60" s="143">
        <f>4424.54</f>
        <v>4424.54</v>
      </c>
      <c r="E60" s="143">
        <f>4571.71</f>
        <v>4571.71</v>
      </c>
      <c r="F60" s="143">
        <f>4624.65</f>
        <v>4624.6499999999996</v>
      </c>
      <c r="G60" s="135">
        <f>4652.73</f>
        <v>4652.7299999999996</v>
      </c>
      <c r="H60" s="143">
        <f>4261.81</f>
        <v>4261.8100000000004</v>
      </c>
      <c r="I60" s="135">
        <f>'FY21 w YOY comp'!H71</f>
        <v>4649.53</v>
      </c>
      <c r="J60" s="137">
        <f>'FY21 w YOY comp'!K71</f>
        <v>6643.9659196470038</v>
      </c>
      <c r="K60" s="316"/>
      <c r="L60" s="142"/>
      <c r="M60" s="177">
        <f>(0.0765*SUM(M56:M57))</f>
        <v>7167.9043195541099</v>
      </c>
      <c r="N60" s="135">
        <v>4653</v>
      </c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</row>
    <row r="61" spans="1:27" ht="15.75" customHeight="1" x14ac:dyDescent="0.25">
      <c r="A61" s="122" t="s">
        <v>132</v>
      </c>
      <c r="B61" s="178">
        <f t="shared" ref="B61:F61" si="16">(((((((B49)+(B50))+(B51))+(B56))+(B57))+(B58))+(B59))+(B60)</f>
        <v>98066.62000000001</v>
      </c>
      <c r="C61" s="178">
        <f t="shared" si="16"/>
        <v>100481.17</v>
      </c>
      <c r="D61" s="178">
        <f t="shared" si="16"/>
        <v>103433.65999999999</v>
      </c>
      <c r="E61" s="178">
        <f t="shared" si="16"/>
        <v>107739.65</v>
      </c>
      <c r="F61" s="178">
        <f t="shared" si="16"/>
        <v>109507.2</v>
      </c>
      <c r="G61" s="178">
        <f>G50+G51+SUM(G56:G60)</f>
        <v>110555.86</v>
      </c>
      <c r="H61" s="178">
        <f t="shared" ref="H61:I61" si="17">(((((((H49)+(H50))+(H51))+(H56))+(H57))+(H58))+(H59))+(H60)</f>
        <v>101040.37000000001</v>
      </c>
      <c r="I61" s="178">
        <f t="shared" si="17"/>
        <v>110520.81</v>
      </c>
      <c r="J61" s="180">
        <f>'FY21 w YOY comp'!K72</f>
        <v>140667.82733333332</v>
      </c>
      <c r="K61" s="131"/>
      <c r="L61" s="184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</row>
    <row r="62" spans="1:27" ht="15.75" hidden="1" customHeight="1" x14ac:dyDescent="0.25">
      <c r="A62" s="46" t="s">
        <v>134</v>
      </c>
      <c r="B62" s="21"/>
      <c r="C62" s="21"/>
      <c r="D62" s="21"/>
      <c r="E62" s="21"/>
      <c r="F62" s="21"/>
      <c r="G62" s="22"/>
      <c r="H62" s="21"/>
      <c r="I62" s="22"/>
      <c r="J62" s="24">
        <f>'FY21 w YOY comp'!K73</f>
        <v>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hidden="1" customHeight="1" x14ac:dyDescent="0.25">
      <c r="A63" s="46" t="s">
        <v>135</v>
      </c>
      <c r="B63" s="47">
        <f t="shared" ref="B63:D63" si="18">900</f>
        <v>900</v>
      </c>
      <c r="C63" s="47">
        <f t="shared" si="18"/>
        <v>900</v>
      </c>
      <c r="D63" s="47">
        <f t="shared" si="18"/>
        <v>900</v>
      </c>
      <c r="E63" s="47">
        <f>644.11</f>
        <v>644.11</v>
      </c>
      <c r="F63" s="47">
        <f>767.5</f>
        <v>767.5</v>
      </c>
      <c r="G63" s="185">
        <f>900</f>
        <v>900</v>
      </c>
      <c r="H63" s="47">
        <f>825</f>
        <v>825</v>
      </c>
      <c r="I63" s="22">
        <f t="shared" ref="I63:I67" si="19">(H63/11)*12</f>
        <v>900</v>
      </c>
      <c r="J63" s="187">
        <f>'FY21 w YOY comp'!K74</f>
        <v>900</v>
      </c>
      <c r="K63" s="190" t="s">
        <v>136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hidden="1" customHeight="1" x14ac:dyDescent="0.25">
      <c r="A64" s="46" t="s">
        <v>137</v>
      </c>
      <c r="B64" s="47">
        <f>1638.28</f>
        <v>1638.28</v>
      </c>
      <c r="C64" s="47">
        <f>2524.01</f>
        <v>2524.0100000000002</v>
      </c>
      <c r="D64" s="47">
        <f>2226.27</f>
        <v>2226.27</v>
      </c>
      <c r="E64" s="47">
        <f>1446.84</f>
        <v>1446.84</v>
      </c>
      <c r="F64" s="47">
        <f>625.08</f>
        <v>625.08000000000004</v>
      </c>
      <c r="G64" s="22">
        <f>1245</f>
        <v>1245</v>
      </c>
      <c r="H64" s="47">
        <f>504.28</f>
        <v>504.28</v>
      </c>
      <c r="I64" s="22">
        <f t="shared" si="19"/>
        <v>550.12363636363636</v>
      </c>
      <c r="J64" s="24">
        <f>'FY21 w YOY comp'!K75</f>
        <v>650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hidden="1" customHeight="1" x14ac:dyDescent="0.25">
      <c r="A65" s="46" t="s">
        <v>138</v>
      </c>
      <c r="B65" s="47">
        <f>908.9</f>
        <v>908.9</v>
      </c>
      <c r="C65" s="47">
        <f>641.96</f>
        <v>641.96</v>
      </c>
      <c r="D65" s="47">
        <f>504.83</f>
        <v>504.83</v>
      </c>
      <c r="E65" s="47">
        <f>329.54</f>
        <v>329.54</v>
      </c>
      <c r="F65" s="47">
        <f>303.93</f>
        <v>303.93</v>
      </c>
      <c r="G65" s="22">
        <f>1040</f>
        <v>1040</v>
      </c>
      <c r="H65" s="47">
        <f>253.93</f>
        <v>253.93</v>
      </c>
      <c r="I65" s="22">
        <f t="shared" si="19"/>
        <v>277.01454545454544</v>
      </c>
      <c r="J65" s="24">
        <f>'FY21 w YOY comp'!K76</f>
        <v>350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hidden="1" customHeight="1" x14ac:dyDescent="0.25">
      <c r="A66" s="46" t="s">
        <v>139</v>
      </c>
      <c r="B66" s="47">
        <f>820.64</f>
        <v>820.64</v>
      </c>
      <c r="C66" s="47">
        <f>690.76</f>
        <v>690.76</v>
      </c>
      <c r="D66" s="47">
        <f>1352.96</f>
        <v>1352.96</v>
      </c>
      <c r="E66" s="47">
        <f>380.65</f>
        <v>380.65</v>
      </c>
      <c r="F66" s="47">
        <f>68.51</f>
        <v>68.510000000000005</v>
      </c>
      <c r="G66" s="22">
        <f>2000</f>
        <v>2000</v>
      </c>
      <c r="H66" s="47">
        <f>144.06</f>
        <v>144.06</v>
      </c>
      <c r="I66" s="22">
        <f t="shared" si="19"/>
        <v>157.15636363636364</v>
      </c>
      <c r="J66" s="24">
        <f>'FY21 w YOY comp'!K77</f>
        <v>500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hidden="1" customHeight="1" x14ac:dyDescent="0.25">
      <c r="A67" s="46" t="s">
        <v>140</v>
      </c>
      <c r="B67" s="47"/>
      <c r="C67" s="47"/>
      <c r="D67" s="47"/>
      <c r="E67" s="47"/>
      <c r="F67" s="47"/>
      <c r="G67" s="22">
        <f t="shared" ref="G67:G69" si="20">800</f>
        <v>800</v>
      </c>
      <c r="H67" s="47">
        <f>500</f>
        <v>500</v>
      </c>
      <c r="I67" s="22">
        <f t="shared" si="19"/>
        <v>545.4545454545455</v>
      </c>
      <c r="J67" s="24">
        <f>'FY21 w YOY comp'!K78</f>
        <v>250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hidden="1" customHeight="1" x14ac:dyDescent="0.25">
      <c r="A68" s="46" t="s">
        <v>141</v>
      </c>
      <c r="B68" s="47"/>
      <c r="C68" s="47"/>
      <c r="D68" s="47"/>
      <c r="E68" s="47"/>
      <c r="F68" s="47"/>
      <c r="G68" s="22">
        <f t="shared" si="20"/>
        <v>800</v>
      </c>
      <c r="H68" s="47"/>
      <c r="I68" s="22"/>
      <c r="J68" s="24">
        <f>'FY21 w YOY comp'!K79</f>
        <v>250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hidden="1" customHeight="1" x14ac:dyDescent="0.25">
      <c r="A69" s="46" t="s">
        <v>142</v>
      </c>
      <c r="B69" s="21"/>
      <c r="C69" s="21"/>
      <c r="D69" s="21"/>
      <c r="E69" s="47">
        <f t="shared" ref="E69:F69" si="21">600</f>
        <v>600</v>
      </c>
      <c r="F69" s="47">
        <f t="shared" si="21"/>
        <v>600</v>
      </c>
      <c r="G69" s="22">
        <f t="shared" si="20"/>
        <v>800</v>
      </c>
      <c r="H69" s="47">
        <f>600</f>
        <v>600</v>
      </c>
      <c r="I69" s="22">
        <f>(H69/11)*12</f>
        <v>654.5454545454545</v>
      </c>
      <c r="J69" s="24">
        <f>'FY21 w YOY comp'!K80</f>
        <v>800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5">
      <c r="A70" s="122" t="s">
        <v>144</v>
      </c>
      <c r="B70" s="178">
        <f t="shared" ref="B70:F70" si="22">SUM(B62:B69)</f>
        <v>4267.82</v>
      </c>
      <c r="C70" s="178">
        <f t="shared" si="22"/>
        <v>4756.7300000000005</v>
      </c>
      <c r="D70" s="178">
        <f t="shared" si="22"/>
        <v>4984.0599999999995</v>
      </c>
      <c r="E70" s="178">
        <f t="shared" si="22"/>
        <v>3401.14</v>
      </c>
      <c r="F70" s="178">
        <f t="shared" si="22"/>
        <v>2365.02</v>
      </c>
      <c r="G70" s="178">
        <f>SUM(G63:G69)</f>
        <v>7585</v>
      </c>
      <c r="H70" s="178">
        <f t="shared" ref="H70:I70" si="23">SUM(H62:H69)</f>
        <v>2827.27</v>
      </c>
      <c r="I70" s="178">
        <f t="shared" si="23"/>
        <v>3084.2945454545456</v>
      </c>
      <c r="J70" s="180">
        <f>'FY21 w YOY comp'!K81</f>
        <v>3700</v>
      </c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</row>
    <row r="71" spans="1:27" ht="15.75" customHeight="1" x14ac:dyDescent="0.25">
      <c r="A71" s="46" t="s">
        <v>145</v>
      </c>
      <c r="B71" s="21"/>
      <c r="C71" s="21"/>
      <c r="D71" s="21"/>
      <c r="E71" s="21"/>
      <c r="F71" s="22"/>
      <c r="G71" s="22"/>
      <c r="H71" s="21"/>
      <c r="I71" s="22"/>
      <c r="J71" s="24">
        <f>'FY21 w YOY comp'!K82</f>
        <v>0</v>
      </c>
      <c r="K71" s="194" t="s">
        <v>146</v>
      </c>
      <c r="L71" s="194" t="s">
        <v>147</v>
      </c>
      <c r="M71" s="195" t="s">
        <v>148</v>
      </c>
      <c r="N71" s="194" t="s">
        <v>149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hidden="1" customHeight="1" x14ac:dyDescent="0.25">
      <c r="A72" s="83" t="s">
        <v>152</v>
      </c>
      <c r="B72" s="85">
        <f t="shared" ref="B72:D72" si="24">9547.2</f>
        <v>9547.2000000000007</v>
      </c>
      <c r="C72" s="85">
        <f t="shared" si="24"/>
        <v>9547.2000000000007</v>
      </c>
      <c r="D72" s="85">
        <f t="shared" si="24"/>
        <v>9547.2000000000007</v>
      </c>
      <c r="E72" s="85">
        <f>9803.88</f>
        <v>9803.8799999999992</v>
      </c>
      <c r="F72" s="85">
        <f>9913.14</f>
        <v>9913.14</v>
      </c>
      <c r="G72" s="86">
        <f>9972.04</f>
        <v>9972.0400000000009</v>
      </c>
      <c r="H72" s="85">
        <f>9549.96</f>
        <v>9549.9599999999991</v>
      </c>
      <c r="I72" s="82">
        <f>(H72/11.5)*12</f>
        <v>9965.1756521739117</v>
      </c>
      <c r="J72" s="87">
        <f>'FY21 w YOY comp'!K84</f>
        <v>10370.921600000001</v>
      </c>
      <c r="K72" s="90"/>
      <c r="L72" s="90"/>
      <c r="M72" s="197">
        <v>1.04</v>
      </c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</row>
    <row r="73" spans="1:27" ht="15.75" hidden="1" customHeight="1" x14ac:dyDescent="0.25">
      <c r="A73" s="83" t="s">
        <v>154</v>
      </c>
      <c r="B73" s="85">
        <f t="shared" ref="B73:D73" si="25">367.2</f>
        <v>367.2</v>
      </c>
      <c r="C73" s="85">
        <f t="shared" si="25"/>
        <v>367.2</v>
      </c>
      <c r="D73" s="85">
        <f t="shared" si="25"/>
        <v>367.2</v>
      </c>
      <c r="E73" s="85">
        <f>377.5</f>
        <v>377.5</v>
      </c>
      <c r="F73" s="85">
        <f>380.52</f>
        <v>380.52</v>
      </c>
      <c r="G73" s="86">
        <f t="shared" ref="G73:H73" si="26">383.54</f>
        <v>383.54</v>
      </c>
      <c r="H73" s="85">
        <f t="shared" si="26"/>
        <v>383.54</v>
      </c>
      <c r="I73" s="82">
        <f>H73</f>
        <v>383.54</v>
      </c>
      <c r="J73" s="87">
        <f>'FY21 w YOY comp'!K85</f>
        <v>398.88160000000005</v>
      </c>
      <c r="K73" s="90"/>
      <c r="L73" s="90"/>
      <c r="M73" s="197">
        <v>1.0129999999999999</v>
      </c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</row>
    <row r="74" spans="1:27" ht="15.75" customHeight="1" x14ac:dyDescent="0.25">
      <c r="A74" s="133" t="s">
        <v>156</v>
      </c>
      <c r="B74" s="199">
        <f t="shared" ref="B74:I74" si="27">SUM(B72:B73)</f>
        <v>9914.4000000000015</v>
      </c>
      <c r="C74" s="199">
        <f t="shared" si="27"/>
        <v>9914.4000000000015</v>
      </c>
      <c r="D74" s="199">
        <f t="shared" si="27"/>
        <v>9914.4000000000015</v>
      </c>
      <c r="E74" s="199">
        <f t="shared" si="27"/>
        <v>10181.379999999999</v>
      </c>
      <c r="F74" s="199">
        <f t="shared" si="27"/>
        <v>10293.66</v>
      </c>
      <c r="G74" s="199">
        <f t="shared" si="27"/>
        <v>10355.580000000002</v>
      </c>
      <c r="H74" s="199">
        <f t="shared" si="27"/>
        <v>9933.5</v>
      </c>
      <c r="I74" s="199">
        <f t="shared" si="27"/>
        <v>10348.715652173913</v>
      </c>
      <c r="J74" s="201">
        <f>'FY21 w YOY comp'!K86</f>
        <v>10769.803200000002</v>
      </c>
      <c r="K74" s="90"/>
      <c r="L74" s="90"/>
      <c r="M74" s="197">
        <v>1.0129999999999999</v>
      </c>
      <c r="N74" s="90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</row>
    <row r="75" spans="1:27" ht="15.75" hidden="1" customHeight="1" x14ac:dyDescent="0.25">
      <c r="A75" s="83" t="s">
        <v>157</v>
      </c>
      <c r="B75" s="85">
        <f t="shared" ref="B75:D75" si="28">9600</f>
        <v>9600</v>
      </c>
      <c r="C75" s="85">
        <f t="shared" si="28"/>
        <v>9600</v>
      </c>
      <c r="D75" s="85">
        <f t="shared" si="28"/>
        <v>9600</v>
      </c>
      <c r="E75" s="85">
        <f>3967.5</f>
        <v>3967.5</v>
      </c>
      <c r="F75" s="85">
        <f>4194.6</f>
        <v>4194.6000000000004</v>
      </c>
      <c r="G75" s="86">
        <f>6339.84</f>
        <v>6339.84</v>
      </c>
      <c r="H75" s="85">
        <f>3807.36</f>
        <v>3807.36</v>
      </c>
      <c r="I75" s="82">
        <f>(H75/11)*12</f>
        <v>4153.4836363636368</v>
      </c>
      <c r="J75" s="87">
        <f>'FY21 w YOY comp'!K87</f>
        <v>4418.4000000000005</v>
      </c>
      <c r="K75" s="206">
        <v>5</v>
      </c>
      <c r="L75" s="206">
        <v>15.24</v>
      </c>
      <c r="M75" s="197">
        <v>1.0129999999999999</v>
      </c>
      <c r="N75" s="207">
        <f>L75+0.6</f>
        <v>15.84</v>
      </c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</row>
    <row r="76" spans="1:27" ht="15.75" hidden="1" customHeight="1" x14ac:dyDescent="0.25">
      <c r="A76" s="83" t="s">
        <v>158</v>
      </c>
      <c r="B76" s="85">
        <f>148.2</f>
        <v>148.19999999999999</v>
      </c>
      <c r="C76" s="85">
        <f>246.1</f>
        <v>246.1</v>
      </c>
      <c r="D76" s="85">
        <f>203.5</f>
        <v>203.5</v>
      </c>
      <c r="E76" s="85">
        <f>27.84</f>
        <v>27.84</v>
      </c>
      <c r="F76" s="86"/>
      <c r="G76" s="86">
        <f>230</f>
        <v>230</v>
      </c>
      <c r="H76" s="84"/>
      <c r="I76" s="86"/>
      <c r="J76" s="87">
        <f>'FY21 w YOY comp'!K88</f>
        <v>459.99999999999994</v>
      </c>
      <c r="K76" s="90"/>
      <c r="L76" s="90"/>
      <c r="M76" s="197">
        <v>1.0129999999999999</v>
      </c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</row>
    <row r="77" spans="1:27" ht="15.75" customHeight="1" x14ac:dyDescent="0.25">
      <c r="A77" s="133" t="s">
        <v>159</v>
      </c>
      <c r="B77" s="199">
        <f t="shared" ref="B77:I77" si="29">SUM(B75:B76)</f>
        <v>9748.2000000000007</v>
      </c>
      <c r="C77" s="199">
        <f t="shared" si="29"/>
        <v>9846.1</v>
      </c>
      <c r="D77" s="199">
        <f t="shared" si="29"/>
        <v>9803.5</v>
      </c>
      <c r="E77" s="199">
        <f t="shared" si="29"/>
        <v>3995.34</v>
      </c>
      <c r="F77" s="199">
        <f t="shared" si="29"/>
        <v>4194.6000000000004</v>
      </c>
      <c r="G77" s="199">
        <f t="shared" si="29"/>
        <v>6569.84</v>
      </c>
      <c r="H77" s="199">
        <f t="shared" si="29"/>
        <v>3807.36</v>
      </c>
      <c r="I77" s="199">
        <f t="shared" si="29"/>
        <v>4153.4836363636368</v>
      </c>
      <c r="J77" s="201">
        <f>'FY21 w YOY comp'!K89</f>
        <v>4878.4000000000005</v>
      </c>
      <c r="K77" s="90"/>
      <c r="L77" s="90"/>
      <c r="M77" s="197">
        <v>1.0129999999999999</v>
      </c>
      <c r="N77" s="90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</row>
    <row r="78" spans="1:27" ht="15.75" customHeight="1" x14ac:dyDescent="0.25">
      <c r="A78" s="133" t="s">
        <v>512</v>
      </c>
      <c r="B78" s="143">
        <f>11396.25</f>
        <v>11396.25</v>
      </c>
      <c r="C78" s="143">
        <f>10575</f>
        <v>10575</v>
      </c>
      <c r="D78" s="143">
        <f>10650</f>
        <v>10650</v>
      </c>
      <c r="E78" s="143">
        <f>8553.26</f>
        <v>8553.26</v>
      </c>
      <c r="F78" s="143">
        <f>9068.67</f>
        <v>9068.67</v>
      </c>
      <c r="G78" s="135">
        <f>12222.6</f>
        <v>12222.6</v>
      </c>
      <c r="H78" s="143">
        <f>9586.94</f>
        <v>9586.94</v>
      </c>
      <c r="I78" s="135">
        <f t="shared" ref="I78:I84" si="30">(H78/11)*12</f>
        <v>10458.480000000001</v>
      </c>
      <c r="J78" s="137">
        <f>'FY21 w YOY comp'!K90</f>
        <v>12690.599999999999</v>
      </c>
      <c r="K78" s="194">
        <v>15</v>
      </c>
      <c r="L78" s="194">
        <v>15.67</v>
      </c>
      <c r="M78" s="197">
        <v>1.0129999999999999</v>
      </c>
      <c r="N78" s="207">
        <f t="shared" ref="N78:N84" si="31">L78+0.6</f>
        <v>16.27</v>
      </c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</row>
    <row r="79" spans="1:27" ht="15.75" customHeight="1" x14ac:dyDescent="0.25">
      <c r="A79" s="133" t="s">
        <v>161</v>
      </c>
      <c r="B79" s="143">
        <f>1286.25</f>
        <v>1286.25</v>
      </c>
      <c r="C79" s="143">
        <f>1461.15</f>
        <v>1461.15</v>
      </c>
      <c r="D79" s="143">
        <f>1702.65</f>
        <v>1702.65</v>
      </c>
      <c r="E79" s="143">
        <f>2381.85</f>
        <v>2381.85</v>
      </c>
      <c r="F79" s="143">
        <f>2254.2</f>
        <v>2254.1999999999998</v>
      </c>
      <c r="G79" s="135">
        <f>3330.72</f>
        <v>3330.72</v>
      </c>
      <c r="H79" s="143">
        <f>1840.71</f>
        <v>1840.71</v>
      </c>
      <c r="I79" s="135">
        <f t="shared" si="30"/>
        <v>2008.0472727272727</v>
      </c>
      <c r="J79" s="137">
        <f>'FY21 w YOY comp'!K91</f>
        <v>1345.68</v>
      </c>
      <c r="K79" s="194">
        <v>3</v>
      </c>
      <c r="L79" s="194">
        <v>15.42</v>
      </c>
      <c r="M79" s="197">
        <v>1.0129999999999999</v>
      </c>
      <c r="N79" s="207">
        <f t="shared" si="31"/>
        <v>16.02</v>
      </c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</row>
    <row r="80" spans="1:27" ht="15.75" customHeight="1" x14ac:dyDescent="0.25">
      <c r="A80" s="133" t="s">
        <v>162</v>
      </c>
      <c r="B80" s="143">
        <f t="shared" ref="B80:C80" si="32">2599.92</f>
        <v>2599.92</v>
      </c>
      <c r="C80" s="143">
        <f t="shared" si="32"/>
        <v>2599.92</v>
      </c>
      <c r="D80" s="143">
        <f>2849.24</f>
        <v>2849.24</v>
      </c>
      <c r="E80" s="143">
        <f>6223.14</f>
        <v>6223.14</v>
      </c>
      <c r="F80" s="143">
        <f>9218.8</f>
        <v>9218.7999999999993</v>
      </c>
      <c r="G80" s="135">
        <f>9464.68</f>
        <v>9464.68</v>
      </c>
      <c r="H80" s="143">
        <f>9932.44</f>
        <v>9932.44</v>
      </c>
      <c r="I80" s="135">
        <f t="shared" si="30"/>
        <v>10835.389090909091</v>
      </c>
      <c r="J80" s="137">
        <f>'FY21 w YOY comp'!K92</f>
        <v>10998.52</v>
      </c>
      <c r="K80" s="194">
        <v>13</v>
      </c>
      <c r="L80" s="194">
        <v>15.67</v>
      </c>
      <c r="M80" s="197">
        <v>1.0129999999999999</v>
      </c>
      <c r="N80" s="207">
        <f t="shared" si="31"/>
        <v>16.27</v>
      </c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</row>
    <row r="81" spans="1:27" ht="15.75" customHeight="1" x14ac:dyDescent="0.25">
      <c r="A81" s="133" t="s">
        <v>163</v>
      </c>
      <c r="B81" s="143">
        <f>2308</f>
        <v>2308</v>
      </c>
      <c r="C81" s="143">
        <f>1590.73</f>
        <v>1590.73</v>
      </c>
      <c r="D81" s="143">
        <f>2579.14</f>
        <v>2579.14</v>
      </c>
      <c r="E81" s="143">
        <f>1705.47</f>
        <v>1705.47</v>
      </c>
      <c r="F81" s="143">
        <f>1376.25</f>
        <v>1376.25</v>
      </c>
      <c r="G81" s="135">
        <f>3120</f>
        <v>3120</v>
      </c>
      <c r="H81" s="143">
        <f>1226.25</f>
        <v>1226.25</v>
      </c>
      <c r="I81" s="135">
        <f t="shared" si="30"/>
        <v>1337.7272727272727</v>
      </c>
      <c r="J81" s="137">
        <f>'FY21 w YOY comp'!K93</f>
        <v>3244.7999999999997</v>
      </c>
      <c r="K81" s="194">
        <v>4</v>
      </c>
      <c r="L81" s="194">
        <v>15</v>
      </c>
      <c r="M81" s="197">
        <v>1.0129999999999999</v>
      </c>
      <c r="N81" s="207">
        <f t="shared" si="31"/>
        <v>15.6</v>
      </c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</row>
    <row r="82" spans="1:27" ht="15.75" customHeight="1" x14ac:dyDescent="0.25">
      <c r="A82" s="133" t="s">
        <v>164</v>
      </c>
      <c r="B82" s="143">
        <f>6236.25</f>
        <v>6236.25</v>
      </c>
      <c r="C82" s="143">
        <f>6075</f>
        <v>6075</v>
      </c>
      <c r="D82" s="143">
        <f>5655</f>
        <v>5655</v>
      </c>
      <c r="E82" s="143">
        <f>7171.7</f>
        <v>7171.7</v>
      </c>
      <c r="F82" s="143">
        <f>9178.54</f>
        <v>9178.5400000000009</v>
      </c>
      <c r="G82" s="135">
        <f>8148.4</f>
        <v>8148.4</v>
      </c>
      <c r="H82" s="143">
        <f>9547.16</f>
        <v>9547.16</v>
      </c>
      <c r="I82" s="135">
        <f t="shared" si="30"/>
        <v>10415.083636363635</v>
      </c>
      <c r="J82" s="137">
        <f>'FY21 w YOY comp'!K94</f>
        <v>10998.52</v>
      </c>
      <c r="K82" s="194">
        <v>13</v>
      </c>
      <c r="L82" s="194">
        <v>15.67</v>
      </c>
      <c r="M82" s="197">
        <v>1.0129999999999999</v>
      </c>
      <c r="N82" s="207">
        <f t="shared" si="31"/>
        <v>16.27</v>
      </c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</row>
    <row r="83" spans="1:27" ht="15.75" customHeight="1" x14ac:dyDescent="0.25">
      <c r="A83" s="133" t="s">
        <v>165</v>
      </c>
      <c r="B83" s="134"/>
      <c r="C83" s="134"/>
      <c r="D83" s="134"/>
      <c r="E83" s="143">
        <f>1464.92</f>
        <v>1464.92</v>
      </c>
      <c r="F83" s="143">
        <f>2702.37</f>
        <v>2702.37</v>
      </c>
      <c r="G83" s="135">
        <f>4009.2</f>
        <v>4009.2</v>
      </c>
      <c r="H83" s="143">
        <f>2237.15</f>
        <v>2237.15</v>
      </c>
      <c r="I83" s="135">
        <f t="shared" si="30"/>
        <v>2440.5272727272727</v>
      </c>
      <c r="J83" s="137">
        <f>'FY21 w YOY comp'!K95</f>
        <v>3332.16</v>
      </c>
      <c r="K83" s="194">
        <v>4</v>
      </c>
      <c r="L83" s="194">
        <v>15.42</v>
      </c>
      <c r="M83" s="197">
        <v>1.0129999999999999</v>
      </c>
      <c r="N83" s="207">
        <f t="shared" si="31"/>
        <v>16.02</v>
      </c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</row>
    <row r="84" spans="1:27" ht="15.75" customHeight="1" x14ac:dyDescent="0.25">
      <c r="A84" s="133" t="s">
        <v>166</v>
      </c>
      <c r="B84" s="134"/>
      <c r="C84" s="134"/>
      <c r="D84" s="134"/>
      <c r="E84" s="143">
        <f>4236.3</f>
        <v>4236.3</v>
      </c>
      <c r="F84" s="143">
        <f>3685.9</f>
        <v>3685.9</v>
      </c>
      <c r="G84" s="135">
        <f>4074.2</f>
        <v>4074.2</v>
      </c>
      <c r="H84" s="143">
        <f>3345</f>
        <v>3345</v>
      </c>
      <c r="I84" s="135">
        <f t="shared" si="30"/>
        <v>3649.090909090909</v>
      </c>
      <c r="J84" s="137">
        <f>'FY21 w YOY comp'!K96</f>
        <v>5229</v>
      </c>
      <c r="K84" s="194">
        <v>5</v>
      </c>
      <c r="L84" s="194">
        <v>16</v>
      </c>
      <c r="M84" s="197">
        <v>1.0129999999999999</v>
      </c>
      <c r="N84" s="207">
        <f t="shared" si="31"/>
        <v>16.600000000000001</v>
      </c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</row>
    <row r="85" spans="1:27" ht="15.75" customHeight="1" x14ac:dyDescent="0.25">
      <c r="A85" s="122" t="s">
        <v>168</v>
      </c>
      <c r="B85" s="178" t="e">
        <f t="shared" ref="B85:D85" si="33">#REF!+B74+B77+SUM(B78:B84)</f>
        <v>#REF!</v>
      </c>
      <c r="C85" s="178" t="e">
        <f t="shared" si="33"/>
        <v>#REF!</v>
      </c>
      <c r="D85" s="178" t="e">
        <f t="shared" si="33"/>
        <v>#REF!</v>
      </c>
      <c r="E85" s="178">
        <f>E74+E77+SUM(E78:E84)</f>
        <v>45913.36</v>
      </c>
      <c r="F85" s="178" t="e">
        <f>#REF!+F74+F77+SUM(F78:F84)</f>
        <v>#REF!</v>
      </c>
      <c r="G85" s="178">
        <f>G74+SUM(G77:G84)</f>
        <v>61295.22</v>
      </c>
      <c r="H85" s="178" t="e">
        <f>#REF!+H74+H77+SUM(H78:H84)</f>
        <v>#REF!</v>
      </c>
      <c r="I85" s="178">
        <f>I74+I77+SUM(I78:I84)</f>
        <v>55646.54474308301</v>
      </c>
      <c r="J85" s="180">
        <f>'FY21 w YOY comp'!K97</f>
        <v>63487.483200000002</v>
      </c>
      <c r="K85" s="131" t="s">
        <v>169</v>
      </c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</row>
    <row r="86" spans="1:27" ht="15.75" hidden="1" customHeight="1" x14ac:dyDescent="0.25">
      <c r="A86" s="46" t="s">
        <v>170</v>
      </c>
      <c r="B86" s="21"/>
      <c r="C86" s="21"/>
      <c r="D86" s="21"/>
      <c r="E86" s="21"/>
      <c r="F86" s="22"/>
      <c r="G86" s="22"/>
      <c r="H86" s="21"/>
      <c r="I86" s="22"/>
      <c r="J86" s="24">
        <f>'FY21 w YOY comp'!K98</f>
        <v>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hidden="1" customHeight="1" x14ac:dyDescent="0.25">
      <c r="A87" s="83" t="s">
        <v>173</v>
      </c>
      <c r="B87" s="84"/>
      <c r="C87" s="85">
        <f>100</f>
        <v>100</v>
      </c>
      <c r="D87" s="84"/>
      <c r="E87" s="84"/>
      <c r="F87" s="86"/>
      <c r="G87" s="86"/>
      <c r="H87" s="84"/>
      <c r="I87" s="86"/>
      <c r="J87" s="87">
        <f>'FY21 w YOY comp'!K100</f>
        <v>0</v>
      </c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</row>
    <row r="88" spans="1:27" ht="15.75" hidden="1" customHeight="1" x14ac:dyDescent="0.25">
      <c r="A88" s="83" t="s">
        <v>174</v>
      </c>
      <c r="B88" s="85">
        <f>130.05</f>
        <v>130.05000000000001</v>
      </c>
      <c r="C88" s="84"/>
      <c r="D88" s="85">
        <f>50</f>
        <v>50</v>
      </c>
      <c r="E88" s="85">
        <f>373.14</f>
        <v>373.14</v>
      </c>
      <c r="F88" s="85">
        <f>323.14</f>
        <v>323.14</v>
      </c>
      <c r="G88" s="86">
        <f>100</f>
        <v>100</v>
      </c>
      <c r="H88" s="84"/>
      <c r="I88" s="86"/>
      <c r="J88" s="87">
        <f>'FY21 w YOY comp'!K101</f>
        <v>0</v>
      </c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</row>
    <row r="89" spans="1:27" ht="15.75" hidden="1" customHeight="1" x14ac:dyDescent="0.25">
      <c r="A89" s="83" t="s">
        <v>175</v>
      </c>
      <c r="B89" s="84"/>
      <c r="C89" s="84"/>
      <c r="D89" s="84"/>
      <c r="E89" s="84"/>
      <c r="F89" s="86"/>
      <c r="G89" s="86"/>
      <c r="H89" s="84"/>
      <c r="I89" s="86"/>
      <c r="J89" s="87">
        <f>'FY21 w YOY comp'!K102</f>
        <v>0</v>
      </c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</row>
    <row r="90" spans="1:27" ht="15.75" hidden="1" customHeight="1" x14ac:dyDescent="0.25">
      <c r="A90" s="122" t="s">
        <v>176</v>
      </c>
      <c r="B90" s="178">
        <f t="shared" ref="B90:F90" si="34">SUM(B86:B89)</f>
        <v>130.05000000000001</v>
      </c>
      <c r="C90" s="178">
        <f t="shared" si="34"/>
        <v>100</v>
      </c>
      <c r="D90" s="178">
        <f t="shared" si="34"/>
        <v>50</v>
      </c>
      <c r="E90" s="178">
        <f t="shared" si="34"/>
        <v>373.14</v>
      </c>
      <c r="F90" s="178">
        <f t="shared" si="34"/>
        <v>323.14</v>
      </c>
      <c r="G90" s="178">
        <f>SUM(G87:G89)</f>
        <v>100</v>
      </c>
      <c r="H90" s="178">
        <f t="shared" ref="H90:I90" si="35">SUM(H86:H89)</f>
        <v>0</v>
      </c>
      <c r="I90" s="178">
        <f t="shared" si="35"/>
        <v>0</v>
      </c>
      <c r="J90" s="180">
        <f>'FY21 w YOY comp'!K103</f>
        <v>0</v>
      </c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</row>
    <row r="91" spans="1:27" ht="15.75" hidden="1" customHeight="1" x14ac:dyDescent="0.25">
      <c r="A91" s="46" t="s">
        <v>177</v>
      </c>
      <c r="B91" s="47">
        <f>750</f>
        <v>750</v>
      </c>
      <c r="C91" s="47">
        <f>800</f>
        <v>800</v>
      </c>
      <c r="D91" s="47">
        <f>640</f>
        <v>640</v>
      </c>
      <c r="E91" s="47">
        <f t="shared" ref="E91:F91" si="36">320</f>
        <v>320</v>
      </c>
      <c r="F91" s="47">
        <f t="shared" si="36"/>
        <v>320</v>
      </c>
      <c r="G91" s="22">
        <f>960</f>
        <v>960</v>
      </c>
      <c r="H91" s="47">
        <f>480</f>
        <v>480</v>
      </c>
      <c r="I91" s="55">
        <f>H91</f>
        <v>480</v>
      </c>
      <c r="J91" s="24">
        <f>'FY21 w YOY comp'!K104</f>
        <v>960</v>
      </c>
      <c r="K91" s="1" t="s">
        <v>513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hidden="1" customHeight="1" x14ac:dyDescent="0.25">
      <c r="A92" s="46" t="s">
        <v>179</v>
      </c>
      <c r="B92" s="47">
        <f>79.28</f>
        <v>79.28</v>
      </c>
      <c r="C92" s="47">
        <f>97.05</f>
        <v>97.05</v>
      </c>
      <c r="D92" s="47">
        <f>122.7</f>
        <v>122.7</v>
      </c>
      <c r="E92" s="47">
        <f>72.04</f>
        <v>72.040000000000006</v>
      </c>
      <c r="F92" s="22"/>
      <c r="G92" s="22">
        <f>100</f>
        <v>100</v>
      </c>
      <c r="H92" s="21"/>
      <c r="I92" s="22"/>
      <c r="J92" s="24">
        <f>'FY21 w YOY comp'!K105</f>
        <v>0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5">
      <c r="A93" s="122" t="s">
        <v>180</v>
      </c>
      <c r="B93" s="178">
        <f t="shared" ref="B93:I93" si="37">SUM(B91:B92)</f>
        <v>829.28</v>
      </c>
      <c r="C93" s="178">
        <f t="shared" si="37"/>
        <v>897.05</v>
      </c>
      <c r="D93" s="178">
        <f t="shared" si="37"/>
        <v>762.7</v>
      </c>
      <c r="E93" s="178">
        <f t="shared" si="37"/>
        <v>392.04</v>
      </c>
      <c r="F93" s="178">
        <f t="shared" si="37"/>
        <v>320</v>
      </c>
      <c r="G93" s="178">
        <f t="shared" si="37"/>
        <v>1060</v>
      </c>
      <c r="H93" s="178">
        <f t="shared" si="37"/>
        <v>480</v>
      </c>
      <c r="I93" s="178">
        <f t="shared" si="37"/>
        <v>480</v>
      </c>
      <c r="J93" s="180">
        <f>'FY21 w YOY comp'!K106</f>
        <v>960</v>
      </c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</row>
    <row r="94" spans="1:27" ht="15.75" hidden="1" customHeight="1" x14ac:dyDescent="0.25">
      <c r="A94" s="122" t="s">
        <v>181</v>
      </c>
      <c r="B94" s="125"/>
      <c r="C94" s="125"/>
      <c r="D94" s="125"/>
      <c r="E94" s="125"/>
      <c r="F94" s="124"/>
      <c r="G94" s="59"/>
      <c r="H94" s="125"/>
      <c r="I94" s="124"/>
      <c r="J94" s="61">
        <f>'FY21 w YOY comp'!K107</f>
        <v>0</v>
      </c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  <c r="AA94" s="131"/>
    </row>
    <row r="95" spans="1:27" ht="15.75" hidden="1" customHeight="1" x14ac:dyDescent="0.25">
      <c r="A95" s="46" t="s">
        <v>182</v>
      </c>
      <c r="B95" s="21"/>
      <c r="C95" s="21"/>
      <c r="D95" s="21"/>
      <c r="E95" s="21"/>
      <c r="F95" s="22"/>
      <c r="G95" s="59"/>
      <c r="H95" s="21"/>
      <c r="I95" s="22"/>
      <c r="J95" s="61">
        <f>'FY21 w YOY comp'!K108</f>
        <v>0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hidden="1" customHeight="1" x14ac:dyDescent="0.25">
      <c r="A96" s="46" t="s">
        <v>183</v>
      </c>
      <c r="B96" s="21"/>
      <c r="C96" s="21"/>
      <c r="D96" s="21"/>
      <c r="E96" s="21"/>
      <c r="F96" s="22"/>
      <c r="G96" s="59"/>
      <c r="H96" s="21"/>
      <c r="I96" s="22"/>
      <c r="J96" s="61">
        <f>'FY21 w YOY comp'!K109</f>
        <v>0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hidden="1" customHeight="1" x14ac:dyDescent="0.25">
      <c r="A97" s="122" t="s">
        <v>184</v>
      </c>
      <c r="B97" s="178">
        <f t="shared" ref="B97:F97" si="38">(B95)+(B96)</f>
        <v>0</v>
      </c>
      <c r="C97" s="178">
        <f t="shared" si="38"/>
        <v>0</v>
      </c>
      <c r="D97" s="178">
        <f t="shared" si="38"/>
        <v>0</v>
      </c>
      <c r="E97" s="178">
        <f t="shared" si="38"/>
        <v>0</v>
      </c>
      <c r="F97" s="178">
        <f t="shared" si="38"/>
        <v>0</v>
      </c>
      <c r="G97" s="59"/>
      <c r="H97" s="178">
        <f>(H95)+(H96)</f>
        <v>0</v>
      </c>
      <c r="I97" s="124"/>
      <c r="J97" s="61">
        <f>'FY21 w YOY comp'!K110</f>
        <v>0</v>
      </c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</row>
    <row r="98" spans="1:27" ht="15.75" customHeight="1" x14ac:dyDescent="0.25">
      <c r="A98" s="122" t="s">
        <v>185</v>
      </c>
      <c r="B98" s="123">
        <f>3315.6</f>
        <v>3315.6</v>
      </c>
      <c r="C98" s="123">
        <f>3198.94</f>
        <v>3198.94</v>
      </c>
      <c r="D98" s="123">
        <f>3285.72</f>
        <v>3285.72</v>
      </c>
      <c r="E98" s="123">
        <f>3510.21</f>
        <v>3510.21</v>
      </c>
      <c r="F98" s="123">
        <f>3975.93</f>
        <v>3975.93</v>
      </c>
      <c r="G98" s="124">
        <f>4671.49</f>
        <v>4671.49</v>
      </c>
      <c r="H98" s="123">
        <f>3959.62</f>
        <v>3959.62</v>
      </c>
      <c r="I98" s="124">
        <f>(H98/11)*12</f>
        <v>4319.585454545454</v>
      </c>
      <c r="J98" s="127">
        <f>'FY21 w YOY comp'!K111</f>
        <v>4821.6024648000002</v>
      </c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</row>
    <row r="99" spans="1:27" ht="15.75" customHeight="1" x14ac:dyDescent="0.25">
      <c r="A99" s="122" t="s">
        <v>186</v>
      </c>
      <c r="B99" s="123">
        <f>72</f>
        <v>72</v>
      </c>
      <c r="C99" s="123">
        <f>120</f>
        <v>120</v>
      </c>
      <c r="D99" s="123">
        <f>72</f>
        <v>72</v>
      </c>
      <c r="E99" s="123">
        <f>48</f>
        <v>48</v>
      </c>
      <c r="F99" s="123">
        <f>36</f>
        <v>36</v>
      </c>
      <c r="G99" s="124">
        <f>48</f>
        <v>48</v>
      </c>
      <c r="H99" s="123">
        <f>12</f>
        <v>12</v>
      </c>
      <c r="I99" s="124">
        <f>H99</f>
        <v>12</v>
      </c>
      <c r="J99" s="127">
        <f>'FY21 w YOY comp'!K112</f>
        <v>24</v>
      </c>
      <c r="K99" s="131" t="s">
        <v>188</v>
      </c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</row>
    <row r="100" spans="1:27" ht="15.75" customHeight="1" x14ac:dyDescent="0.25">
      <c r="A100" s="122" t="s">
        <v>189</v>
      </c>
      <c r="B100" s="125"/>
      <c r="C100" s="125"/>
      <c r="D100" s="125"/>
      <c r="E100" s="123">
        <f>823.44</f>
        <v>823.44</v>
      </c>
      <c r="F100" s="123">
        <f>602.98</f>
        <v>602.98</v>
      </c>
      <c r="G100" s="124">
        <f>450</f>
        <v>450</v>
      </c>
      <c r="H100" s="123">
        <f>307.66</f>
        <v>307.66000000000003</v>
      </c>
      <c r="I100" s="124">
        <f>(H100/11)*12</f>
        <v>335.62909090909096</v>
      </c>
      <c r="J100" s="127">
        <f>'FY21 w YOY comp'!K113</f>
        <v>450</v>
      </c>
      <c r="K100" s="131" t="s">
        <v>514</v>
      </c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</row>
    <row r="101" spans="1:27" ht="15.75" customHeight="1" x14ac:dyDescent="0.25">
      <c r="A101" s="122" t="s">
        <v>192</v>
      </c>
      <c r="B101" s="125"/>
      <c r="C101" s="125"/>
      <c r="D101" s="125"/>
      <c r="E101" s="125"/>
      <c r="F101" s="123">
        <f>18.26</f>
        <v>18.260000000000002</v>
      </c>
      <c r="G101" s="124">
        <f>500</f>
        <v>500</v>
      </c>
      <c r="H101" s="123">
        <f>18.26</f>
        <v>18.260000000000002</v>
      </c>
      <c r="I101" s="124">
        <f>H101</f>
        <v>18.260000000000002</v>
      </c>
      <c r="J101" s="127">
        <f>'FY21 w YOY comp'!K114</f>
        <v>0</v>
      </c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</row>
    <row r="102" spans="1:27" ht="15.75" customHeight="1" x14ac:dyDescent="0.25">
      <c r="A102" s="217" t="s">
        <v>193</v>
      </c>
      <c r="B102" s="218" t="e">
        <f t="shared" ref="B102:F102" si="39">(((((((((((((B48)+(B61))+(B70))+(B85))+(B90))+(B93))+(B94))+(B97))+(B98))+(B99))+(B100))+(B101)))</f>
        <v>#REF!</v>
      </c>
      <c r="C102" s="218" t="e">
        <f t="shared" si="39"/>
        <v>#REF!</v>
      </c>
      <c r="D102" s="218" t="e">
        <f t="shared" si="39"/>
        <v>#REF!</v>
      </c>
      <c r="E102" s="218">
        <f t="shared" si="39"/>
        <v>162200.98000000001</v>
      </c>
      <c r="F102" s="218" t="e">
        <f t="shared" si="39"/>
        <v>#REF!</v>
      </c>
      <c r="G102" s="218">
        <f>G61+G70+G85+G90+SUM(G93:G101)</f>
        <v>186265.57</v>
      </c>
      <c r="H102" s="218" t="e">
        <f t="shared" ref="H102:I102" si="40">(((((((((((((H48)+(H61))+(H70))+(H85))+(H90))+(H93))+(H94))+(H97))+(H98))+(H99))+(H100))+(H101)))</f>
        <v>#REF!</v>
      </c>
      <c r="I102" s="218">
        <f t="shared" si="40"/>
        <v>174417.12383399211</v>
      </c>
      <c r="J102" s="220">
        <f>'FY21 w YOY comp'!K115</f>
        <v>214110.91299813334</v>
      </c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</row>
    <row r="103" spans="1:27" ht="15.75" customHeight="1" x14ac:dyDescent="0.25">
      <c r="A103" s="20"/>
      <c r="B103" s="47"/>
      <c r="C103" s="47"/>
      <c r="D103" s="47"/>
      <c r="E103" s="47"/>
      <c r="F103" s="47"/>
      <c r="G103" s="22"/>
      <c r="H103" s="47"/>
      <c r="I103" s="22"/>
      <c r="J103" s="73">
        <f>'FY21 w YOY comp'!K116</f>
        <v>0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5">
      <c r="A104" s="122" t="s">
        <v>194</v>
      </c>
      <c r="B104" s="123">
        <f>-97</f>
        <v>-97</v>
      </c>
      <c r="C104" s="125"/>
      <c r="D104" s="125"/>
      <c r="E104" s="123">
        <f t="shared" ref="E104:F104" si="41">2115.82</f>
        <v>2115.8200000000002</v>
      </c>
      <c r="F104" s="123">
        <f t="shared" si="41"/>
        <v>2115.8200000000002</v>
      </c>
      <c r="G104" s="124"/>
      <c r="H104" s="125"/>
      <c r="I104" s="124"/>
      <c r="J104" s="127">
        <f>'FY21 w YOY comp'!K117</f>
        <v>0</v>
      </c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</row>
    <row r="105" spans="1:27" ht="15.75" customHeight="1" x14ac:dyDescent="0.25">
      <c r="A105" s="122" t="s">
        <v>195</v>
      </c>
      <c r="B105" s="123">
        <f>195.5</f>
        <v>195.5</v>
      </c>
      <c r="C105" s="123">
        <f>144.5</f>
        <v>144.5</v>
      </c>
      <c r="D105" s="123">
        <f>102</f>
        <v>102</v>
      </c>
      <c r="E105" s="123">
        <f>85</f>
        <v>85</v>
      </c>
      <c r="F105" s="123">
        <f>59.5</f>
        <v>59.5</v>
      </c>
      <c r="G105" s="124">
        <f>100</f>
        <v>100</v>
      </c>
      <c r="H105" s="123">
        <f>51</f>
        <v>51</v>
      </c>
      <c r="I105" s="124">
        <f t="shared" ref="I105:I107" si="42">(H105/11)*12</f>
        <v>55.63636363636364</v>
      </c>
      <c r="J105" s="127">
        <f>'FY21 w YOY comp'!K118</f>
        <v>60</v>
      </c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</row>
    <row r="106" spans="1:27" ht="15.75" customHeight="1" x14ac:dyDescent="0.25">
      <c r="A106" s="122" t="s">
        <v>198</v>
      </c>
      <c r="B106" s="123">
        <f>13.71</f>
        <v>13.71</v>
      </c>
      <c r="C106" s="123">
        <f>237.13</f>
        <v>237.13</v>
      </c>
      <c r="D106" s="123">
        <f>108.98</f>
        <v>108.98</v>
      </c>
      <c r="E106" s="123">
        <f>314.96</f>
        <v>314.95999999999998</v>
      </c>
      <c r="F106" s="123">
        <f>189.32</f>
        <v>189.32</v>
      </c>
      <c r="G106" s="124">
        <f>340</f>
        <v>340</v>
      </c>
      <c r="H106" s="123">
        <f>179.28</f>
        <v>179.28</v>
      </c>
      <c r="I106" s="124">
        <f t="shared" si="42"/>
        <v>195.5781818181818</v>
      </c>
      <c r="J106" s="127">
        <f>'FY21 w YOY comp'!K119</f>
        <v>780</v>
      </c>
      <c r="K106" s="131" t="s">
        <v>199</v>
      </c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  <c r="AA106" s="131"/>
    </row>
    <row r="107" spans="1:27" ht="15.75" customHeight="1" x14ac:dyDescent="0.25">
      <c r="A107" s="122" t="s">
        <v>200</v>
      </c>
      <c r="B107" s="123">
        <f>245.3</f>
        <v>245.3</v>
      </c>
      <c r="C107" s="123">
        <f>242.22</f>
        <v>242.22</v>
      </c>
      <c r="D107" s="123">
        <f>226.67</f>
        <v>226.67</v>
      </c>
      <c r="E107" s="123">
        <f>345.72</f>
        <v>345.72</v>
      </c>
      <c r="F107" s="123">
        <f>207.62</f>
        <v>207.62</v>
      </c>
      <c r="G107" s="124">
        <f>250</f>
        <v>250</v>
      </c>
      <c r="H107" s="123">
        <f>238.69</f>
        <v>238.69</v>
      </c>
      <c r="I107" s="124">
        <f t="shared" si="42"/>
        <v>260.3890909090909</v>
      </c>
      <c r="J107" s="127">
        <f>'FY21 w YOY comp'!K120</f>
        <v>200</v>
      </c>
      <c r="K107" s="131" t="s">
        <v>515</v>
      </c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</row>
    <row r="108" spans="1:27" ht="15.75" hidden="1" customHeight="1" x14ac:dyDescent="0.25">
      <c r="A108" s="133" t="s">
        <v>202</v>
      </c>
      <c r="B108" s="143">
        <f>30.74</f>
        <v>30.74</v>
      </c>
      <c r="C108" s="134"/>
      <c r="D108" s="134"/>
      <c r="E108" s="134"/>
      <c r="F108" s="135"/>
      <c r="G108" s="135"/>
      <c r="H108" s="134">
        <f>149.99</f>
        <v>149.99</v>
      </c>
      <c r="I108" s="135">
        <f>H108</f>
        <v>149.99</v>
      </c>
      <c r="J108" s="137">
        <f>'FY21 w YOY comp'!K121</f>
        <v>0</v>
      </c>
      <c r="K108" s="142" t="s">
        <v>211</v>
      </c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</row>
    <row r="109" spans="1:27" ht="15.75" hidden="1" customHeight="1" x14ac:dyDescent="0.25">
      <c r="A109" s="83" t="s">
        <v>203</v>
      </c>
      <c r="B109" s="84"/>
      <c r="C109" s="84"/>
      <c r="D109" s="84"/>
      <c r="E109" s="84"/>
      <c r="F109" s="86"/>
      <c r="G109" s="86"/>
      <c r="H109" s="84"/>
      <c r="I109" s="86"/>
      <c r="J109" s="87">
        <f>'FY21 w YOY comp'!K122</f>
        <v>2500</v>
      </c>
      <c r="K109" s="1" t="s">
        <v>516</v>
      </c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</row>
    <row r="110" spans="1:27" ht="15.75" hidden="1" customHeight="1" x14ac:dyDescent="0.25">
      <c r="A110" s="227" t="s">
        <v>206</v>
      </c>
      <c r="B110" s="86"/>
      <c r="C110" s="86"/>
      <c r="D110" s="86"/>
      <c r="E110" s="86"/>
      <c r="F110" s="86"/>
      <c r="G110" s="86">
        <f>638.88</f>
        <v>638.88</v>
      </c>
      <c r="H110" s="86"/>
      <c r="I110" s="86"/>
      <c r="J110" s="87">
        <f>'FY21 w YOY comp'!K123</f>
        <v>0</v>
      </c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</row>
    <row r="111" spans="1:27" ht="15.75" hidden="1" customHeight="1" x14ac:dyDescent="0.25">
      <c r="A111" s="83" t="s">
        <v>207</v>
      </c>
      <c r="B111" s="84"/>
      <c r="C111" s="84"/>
      <c r="D111" s="84"/>
      <c r="E111" s="84"/>
      <c r="F111" s="85">
        <f>937</f>
        <v>937</v>
      </c>
      <c r="G111" s="86">
        <f>1200</f>
        <v>1200</v>
      </c>
      <c r="H111" s="85">
        <f>959.25</f>
        <v>959.25</v>
      </c>
      <c r="I111" s="86">
        <f>H111</f>
        <v>959.25</v>
      </c>
      <c r="J111" s="87">
        <f>'FY21 w YOY comp'!K124</f>
        <v>0</v>
      </c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</row>
    <row r="112" spans="1:27" ht="15.75" hidden="1" customHeight="1" x14ac:dyDescent="0.25">
      <c r="A112" s="133" t="s">
        <v>208</v>
      </c>
      <c r="B112" s="161">
        <f t="shared" ref="B112:F112" si="43">(B109)+(B111)</f>
        <v>0</v>
      </c>
      <c r="C112" s="161">
        <f t="shared" si="43"/>
        <v>0</v>
      </c>
      <c r="D112" s="161">
        <f t="shared" si="43"/>
        <v>0</v>
      </c>
      <c r="E112" s="161">
        <f t="shared" si="43"/>
        <v>0</v>
      </c>
      <c r="F112" s="161">
        <f t="shared" si="43"/>
        <v>937</v>
      </c>
      <c r="G112" s="161">
        <f>SUM(G110:G111)</f>
        <v>1838.88</v>
      </c>
      <c r="H112" s="161">
        <f t="shared" ref="H112:I112" si="44">(H109)+(H111)</f>
        <v>959.25</v>
      </c>
      <c r="I112" s="161">
        <f t="shared" si="44"/>
        <v>959.25</v>
      </c>
      <c r="J112" s="229">
        <f>'FY21 w YOY comp'!K125</f>
        <v>2500</v>
      </c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</row>
    <row r="113" spans="1:27" ht="15.75" customHeight="1" x14ac:dyDescent="0.25">
      <c r="A113" s="122" t="s">
        <v>212</v>
      </c>
      <c r="B113" s="178">
        <f t="shared" ref="B113:F113" si="45">(B108)+(B112)</f>
        <v>30.74</v>
      </c>
      <c r="C113" s="178">
        <f t="shared" si="45"/>
        <v>0</v>
      </c>
      <c r="D113" s="178">
        <f t="shared" si="45"/>
        <v>0</v>
      </c>
      <c r="E113" s="178">
        <f t="shared" si="45"/>
        <v>0</v>
      </c>
      <c r="F113" s="178">
        <f t="shared" si="45"/>
        <v>937</v>
      </c>
      <c r="G113" s="178">
        <f>G112</f>
        <v>1838.88</v>
      </c>
      <c r="H113" s="178">
        <f t="shared" ref="H113:I113" si="46">(H108)+(H112)</f>
        <v>1109.24</v>
      </c>
      <c r="I113" s="178">
        <f t="shared" si="46"/>
        <v>1109.24</v>
      </c>
      <c r="J113" s="180">
        <f>'FY21 w YOY comp'!K127</f>
        <v>3000</v>
      </c>
      <c r="K113" s="131" t="s">
        <v>517</v>
      </c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</row>
    <row r="114" spans="1:27" ht="15.75" customHeight="1" x14ac:dyDescent="0.25">
      <c r="A114" s="122" t="s">
        <v>213</v>
      </c>
      <c r="B114" s="123">
        <f>322.96</f>
        <v>322.95999999999998</v>
      </c>
      <c r="C114" s="123">
        <f>240.24</f>
        <v>240.24</v>
      </c>
      <c r="D114" s="123">
        <f>923.06</f>
        <v>923.06</v>
      </c>
      <c r="E114" s="123">
        <f>3171.63</f>
        <v>3171.63</v>
      </c>
      <c r="F114" s="123">
        <f>2607.58</f>
        <v>2607.58</v>
      </c>
      <c r="G114" s="124">
        <f>3200</f>
        <v>3200</v>
      </c>
      <c r="H114" s="123">
        <f>2305.79</f>
        <v>2305.79</v>
      </c>
      <c r="I114" s="124">
        <f>(H114/11)*12</f>
        <v>2515.4072727272728</v>
      </c>
      <c r="J114" s="127">
        <f>'FY21 w YOY comp'!K128</f>
        <v>3764</v>
      </c>
      <c r="K114" s="131" t="s">
        <v>518</v>
      </c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</row>
    <row r="115" spans="1:27" ht="15.75" hidden="1" customHeight="1" x14ac:dyDescent="0.25">
      <c r="A115" s="46" t="s">
        <v>215</v>
      </c>
      <c r="B115" s="21"/>
      <c r="C115" s="21"/>
      <c r="D115" s="21"/>
      <c r="E115" s="21"/>
      <c r="F115" s="22"/>
      <c r="G115" s="22"/>
      <c r="H115" s="21"/>
      <c r="I115" s="22"/>
      <c r="J115" s="24">
        <f>'FY21 w YOY comp'!K129</f>
        <v>0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hidden="1" customHeight="1" x14ac:dyDescent="0.25">
      <c r="A116" s="46" t="s">
        <v>216</v>
      </c>
      <c r="B116" s="47">
        <f>148.17</f>
        <v>148.16999999999999</v>
      </c>
      <c r="C116" s="47">
        <f>69.14</f>
        <v>69.14</v>
      </c>
      <c r="D116" s="47">
        <f>109.73</f>
        <v>109.73</v>
      </c>
      <c r="E116" s="47">
        <f>208.55</f>
        <v>208.55</v>
      </c>
      <c r="F116" s="47">
        <f>293.88</f>
        <v>293.88</v>
      </c>
      <c r="G116" s="22">
        <f>120</f>
        <v>120</v>
      </c>
      <c r="H116" s="47">
        <f>236.23</f>
        <v>236.23</v>
      </c>
      <c r="I116" s="22">
        <f>(H116/11)*12</f>
        <v>257.70545454545453</v>
      </c>
      <c r="J116" s="24">
        <f>'FY21 w YOY comp'!K130</f>
        <v>400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hidden="1" customHeight="1" x14ac:dyDescent="0.25">
      <c r="A117" s="46" t="s">
        <v>217</v>
      </c>
      <c r="B117" s="21"/>
      <c r="C117" s="21"/>
      <c r="D117" s="21"/>
      <c r="E117" s="21">
        <f t="shared" ref="E117:G117" si="47">118</f>
        <v>118</v>
      </c>
      <c r="F117" s="22">
        <f t="shared" si="47"/>
        <v>118</v>
      </c>
      <c r="G117" s="22">
        <f t="shared" si="47"/>
        <v>118</v>
      </c>
      <c r="H117" s="21"/>
      <c r="I117" s="22"/>
      <c r="J117" s="24">
        <f>'FY21 w YOY comp'!K131</f>
        <v>166</v>
      </c>
      <c r="K117" s="190" t="s">
        <v>519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5">
      <c r="A118" s="122" t="s">
        <v>218</v>
      </c>
      <c r="B118" s="178">
        <f t="shared" ref="B118:F118" si="48">SUM(B115:B117)</f>
        <v>148.16999999999999</v>
      </c>
      <c r="C118" s="178">
        <f t="shared" si="48"/>
        <v>69.14</v>
      </c>
      <c r="D118" s="178">
        <f t="shared" si="48"/>
        <v>109.73</v>
      </c>
      <c r="E118" s="178">
        <f t="shared" si="48"/>
        <v>326.55</v>
      </c>
      <c r="F118" s="178">
        <f t="shared" si="48"/>
        <v>411.88</v>
      </c>
      <c r="G118" s="178">
        <f>SUM(G116:G117)</f>
        <v>238</v>
      </c>
      <c r="H118" s="178">
        <f t="shared" ref="H118:I118" si="49">SUM(H115:H117)</f>
        <v>236.23</v>
      </c>
      <c r="I118" s="178">
        <f t="shared" si="49"/>
        <v>257.70545454545453</v>
      </c>
      <c r="J118" s="180">
        <f>'FY21 w YOY comp'!K132</f>
        <v>566</v>
      </c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</row>
    <row r="119" spans="1:27" ht="15.75" hidden="1" customHeight="1" x14ac:dyDescent="0.25">
      <c r="A119" s="46" t="s">
        <v>219</v>
      </c>
      <c r="B119" s="47">
        <f>296.65</f>
        <v>296.64999999999998</v>
      </c>
      <c r="C119" s="21"/>
      <c r="D119" s="21"/>
      <c r="E119" s="21"/>
      <c r="F119" s="22"/>
      <c r="G119" s="22"/>
      <c r="H119" s="21">
        <f>300</f>
        <v>300</v>
      </c>
      <c r="I119" s="22">
        <f>H119</f>
        <v>300</v>
      </c>
      <c r="J119" s="24">
        <f>'FY21 w YOY comp'!K133</f>
        <v>0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hidden="1" customHeight="1" x14ac:dyDescent="0.25">
      <c r="A120" s="46" t="s">
        <v>220</v>
      </c>
      <c r="B120" s="47">
        <f>275.2</f>
        <v>275.2</v>
      </c>
      <c r="C120" s="47">
        <f>206.77</f>
        <v>206.77</v>
      </c>
      <c r="D120" s="47">
        <f>175.83</f>
        <v>175.83</v>
      </c>
      <c r="E120" s="47">
        <f>177.38</f>
        <v>177.38</v>
      </c>
      <c r="F120" s="47">
        <f>129.54</f>
        <v>129.54</v>
      </c>
      <c r="G120" s="22">
        <f>200</f>
        <v>200</v>
      </c>
      <c r="H120" s="47">
        <f>36.99</f>
        <v>36.99</v>
      </c>
      <c r="I120" s="22">
        <f t="shared" ref="I120:I121" si="50">(H120/10)*12</f>
        <v>44.388000000000005</v>
      </c>
      <c r="J120" s="24">
        <f>'FY21 w YOY comp'!K134</f>
        <v>100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hidden="1" customHeight="1" x14ac:dyDescent="0.25">
      <c r="A121" s="46" t="s">
        <v>520</v>
      </c>
      <c r="B121" s="47">
        <f>3747.64</f>
        <v>3747.64</v>
      </c>
      <c r="C121" s="47">
        <f>3131.17</f>
        <v>3131.17</v>
      </c>
      <c r="D121" s="47">
        <f>550.36</f>
        <v>550.36</v>
      </c>
      <c r="E121" s="47">
        <f>151.12</f>
        <v>151.12</v>
      </c>
      <c r="F121" s="47">
        <f>71.24</f>
        <v>71.239999999999995</v>
      </c>
      <c r="G121" s="22">
        <f>170</f>
        <v>170</v>
      </c>
      <c r="H121" s="47">
        <f>46.65</f>
        <v>46.65</v>
      </c>
      <c r="I121" s="22">
        <f t="shared" si="50"/>
        <v>55.980000000000004</v>
      </c>
      <c r="J121" s="24">
        <f>'FY21 w YOY comp'!K135</f>
        <v>150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5">
      <c r="A122" s="122" t="s">
        <v>222</v>
      </c>
      <c r="B122" s="178">
        <f t="shared" ref="B122:F122" si="51">SUM(B119:B121)</f>
        <v>4319.49</v>
      </c>
      <c r="C122" s="178">
        <f t="shared" si="51"/>
        <v>3337.94</v>
      </c>
      <c r="D122" s="178">
        <f t="shared" si="51"/>
        <v>726.19</v>
      </c>
      <c r="E122" s="178">
        <f t="shared" si="51"/>
        <v>328.5</v>
      </c>
      <c r="F122" s="178">
        <f t="shared" si="51"/>
        <v>200.77999999999997</v>
      </c>
      <c r="G122" s="178">
        <f>SUM(G120:G121)</f>
        <v>370</v>
      </c>
      <c r="H122" s="178">
        <f t="shared" ref="H122:I122" si="52">SUM(H119:H121)</f>
        <v>383.64</v>
      </c>
      <c r="I122" s="178">
        <f t="shared" si="52"/>
        <v>400.36800000000005</v>
      </c>
      <c r="J122" s="180">
        <f>'FY21 w YOY comp'!K136</f>
        <v>250</v>
      </c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</row>
    <row r="123" spans="1:27" ht="15.75" hidden="1" customHeight="1" x14ac:dyDescent="0.25">
      <c r="A123" s="46" t="s">
        <v>223</v>
      </c>
      <c r="B123" s="21"/>
      <c r="C123" s="47">
        <f>429.24</f>
        <v>429.24</v>
      </c>
      <c r="D123" s="21"/>
      <c r="E123" s="21"/>
      <c r="F123" s="22"/>
      <c r="G123" s="22"/>
      <c r="H123" s="21"/>
      <c r="I123" s="22"/>
      <c r="J123" s="24">
        <f>'FY21 w YOY comp'!K137</f>
        <v>0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hidden="1" customHeight="1" x14ac:dyDescent="0.25">
      <c r="A124" s="46" t="s">
        <v>224</v>
      </c>
      <c r="B124" s="21"/>
      <c r="C124" s="21"/>
      <c r="D124" s="47">
        <f>2216.17</f>
        <v>2216.17</v>
      </c>
      <c r="E124" s="47">
        <f>2438.92</f>
        <v>2438.92</v>
      </c>
      <c r="F124" s="47">
        <f>2614.92</f>
        <v>2614.92</v>
      </c>
      <c r="G124" s="22">
        <f>2680.92</f>
        <v>2680.92</v>
      </c>
      <c r="H124" s="47">
        <f>2457.51</f>
        <v>2457.5100000000002</v>
      </c>
      <c r="I124" s="22">
        <f>(H124/11)*12</f>
        <v>2680.92</v>
      </c>
      <c r="J124" s="24">
        <f>'FY21 w YOY comp'!K138</f>
        <v>2604</v>
      </c>
      <c r="K124" s="1" t="s">
        <v>225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hidden="1" customHeight="1" x14ac:dyDescent="0.25">
      <c r="A125" s="46" t="s">
        <v>226</v>
      </c>
      <c r="B125" s="21"/>
      <c r="C125" s="21"/>
      <c r="D125" s="21"/>
      <c r="E125" s="21"/>
      <c r="F125" s="22"/>
      <c r="G125" s="22"/>
      <c r="H125" s="21">
        <f>11.1</f>
        <v>11.1</v>
      </c>
      <c r="I125" s="22">
        <f>H125</f>
        <v>11.1</v>
      </c>
      <c r="J125" s="24">
        <f>'FY21 w YOY comp'!K139</f>
        <v>0</v>
      </c>
      <c r="K125" s="1" t="s">
        <v>227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5">
      <c r="A126" s="122" t="s">
        <v>228</v>
      </c>
      <c r="B126" s="178">
        <f t="shared" ref="B126:F126" si="53">SUM(B123:B125)</f>
        <v>0</v>
      </c>
      <c r="C126" s="178">
        <f t="shared" si="53"/>
        <v>429.24</v>
      </c>
      <c r="D126" s="178">
        <f t="shared" si="53"/>
        <v>2216.17</v>
      </c>
      <c r="E126" s="178">
        <f t="shared" si="53"/>
        <v>2438.92</v>
      </c>
      <c r="F126" s="178">
        <f t="shared" si="53"/>
        <v>2614.92</v>
      </c>
      <c r="G126" s="178">
        <f>SUM(G124:G125)</f>
        <v>2680.92</v>
      </c>
      <c r="H126" s="178">
        <f t="shared" ref="H126:I126" si="54">SUM(H123:H125)</f>
        <v>2468.61</v>
      </c>
      <c r="I126" s="178">
        <f t="shared" si="54"/>
        <v>2692.02</v>
      </c>
      <c r="J126" s="180">
        <f>'FY21 w YOY comp'!K140</f>
        <v>2604</v>
      </c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</row>
    <row r="127" spans="1:27" ht="15.75" customHeight="1" x14ac:dyDescent="0.25">
      <c r="A127" s="122" t="s">
        <v>229</v>
      </c>
      <c r="B127" s="123">
        <f>660</f>
        <v>660</v>
      </c>
      <c r="C127" s="123">
        <f>495</f>
        <v>495</v>
      </c>
      <c r="D127" s="123">
        <f t="shared" ref="D127:H127" si="55">605</f>
        <v>605</v>
      </c>
      <c r="E127" s="123">
        <f t="shared" si="55"/>
        <v>605</v>
      </c>
      <c r="F127" s="123">
        <f t="shared" si="55"/>
        <v>605</v>
      </c>
      <c r="G127" s="124">
        <f t="shared" si="55"/>
        <v>605</v>
      </c>
      <c r="H127" s="123">
        <f t="shared" si="55"/>
        <v>605</v>
      </c>
      <c r="I127" s="124">
        <v>605</v>
      </c>
      <c r="J127" s="127">
        <f>'FY21 w YOY comp'!K141</f>
        <v>605</v>
      </c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</row>
    <row r="128" spans="1:27" ht="15.75" hidden="1" customHeight="1" x14ac:dyDescent="0.25">
      <c r="A128" s="46" t="s">
        <v>231</v>
      </c>
      <c r="B128" s="47">
        <f>1214.36</f>
        <v>1214.3599999999999</v>
      </c>
      <c r="C128" s="47">
        <f>1302.05</f>
        <v>1302.05</v>
      </c>
      <c r="D128" s="47">
        <f>1486.88</f>
        <v>1486.88</v>
      </c>
      <c r="E128" s="47">
        <f>1952.88</f>
        <v>1952.88</v>
      </c>
      <c r="F128" s="47">
        <f>780.96</f>
        <v>780.96</v>
      </c>
      <c r="G128" s="55"/>
      <c r="H128" s="21"/>
      <c r="I128" s="22"/>
      <c r="J128" s="73">
        <f>'FY21 w YOY comp'!K142</f>
        <v>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hidden="1" customHeight="1" x14ac:dyDescent="0.25">
      <c r="A129" s="46" t="s">
        <v>232</v>
      </c>
      <c r="B129" s="21"/>
      <c r="C129" s="21"/>
      <c r="D129" s="21"/>
      <c r="E129" s="21"/>
      <c r="F129" s="47">
        <f>472</f>
        <v>472</v>
      </c>
      <c r="G129" s="55">
        <f>720</f>
        <v>720</v>
      </c>
      <c r="H129" s="47">
        <f>649</f>
        <v>649</v>
      </c>
      <c r="I129" s="22">
        <f t="shared" ref="I129:I131" si="56">(H129/11)*12</f>
        <v>708</v>
      </c>
      <c r="J129" s="73">
        <f>'FY21 w YOY comp'!K143</f>
        <v>708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hidden="1" customHeight="1" x14ac:dyDescent="0.25">
      <c r="A130" s="46" t="s">
        <v>234</v>
      </c>
      <c r="B130" s="21"/>
      <c r="C130" s="21"/>
      <c r="D130" s="21"/>
      <c r="E130" s="21"/>
      <c r="F130" s="47">
        <f>560</f>
        <v>560</v>
      </c>
      <c r="G130" s="55">
        <f>840</f>
        <v>840</v>
      </c>
      <c r="H130" s="47">
        <f>770</f>
        <v>770</v>
      </c>
      <c r="I130" s="22">
        <f t="shared" si="56"/>
        <v>840</v>
      </c>
      <c r="J130" s="73">
        <f>'FY21 w YOY comp'!K144</f>
        <v>840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hidden="1" customHeight="1" x14ac:dyDescent="0.25">
      <c r="A131" s="46" t="s">
        <v>236</v>
      </c>
      <c r="B131" s="21"/>
      <c r="C131" s="21"/>
      <c r="D131" s="21"/>
      <c r="E131" s="21"/>
      <c r="F131" s="47">
        <f>529</f>
        <v>529</v>
      </c>
      <c r="G131" s="55">
        <f>852</f>
        <v>852</v>
      </c>
      <c r="H131" s="47">
        <f>774</f>
        <v>774</v>
      </c>
      <c r="I131" s="22">
        <f t="shared" si="56"/>
        <v>844.36363636363626</v>
      </c>
      <c r="J131" s="73">
        <f>'FY21 w YOY comp'!K145</f>
        <v>996</v>
      </c>
      <c r="K131" s="1" t="s">
        <v>521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hidden="1" customHeight="1" x14ac:dyDescent="0.25">
      <c r="A132" s="46" t="s">
        <v>238</v>
      </c>
      <c r="B132" s="21"/>
      <c r="C132" s="21"/>
      <c r="D132" s="21"/>
      <c r="E132" s="21"/>
      <c r="F132" s="47">
        <f>225.35</f>
        <v>225.35</v>
      </c>
      <c r="G132" s="55">
        <f>179.88</f>
        <v>179.88</v>
      </c>
      <c r="H132" s="47">
        <f>225.35</f>
        <v>225.35</v>
      </c>
      <c r="I132" s="22">
        <f>H132</f>
        <v>225.35</v>
      </c>
      <c r="J132" s="73">
        <f>'FY21 w YOY comp'!K146</f>
        <v>150</v>
      </c>
      <c r="K132" s="1" t="s">
        <v>240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hidden="1" customHeight="1" x14ac:dyDescent="0.25">
      <c r="A133" s="48" t="s">
        <v>241</v>
      </c>
      <c r="B133" s="47">
        <f t="shared" ref="B133:D133" si="57">60</f>
        <v>60</v>
      </c>
      <c r="C133" s="47">
        <f t="shared" si="57"/>
        <v>60</v>
      </c>
      <c r="D133" s="47">
        <f t="shared" si="57"/>
        <v>60</v>
      </c>
      <c r="E133" s="47">
        <f t="shared" ref="E133:F133" si="58">65</f>
        <v>65</v>
      </c>
      <c r="F133" s="47">
        <f t="shared" si="58"/>
        <v>65</v>
      </c>
      <c r="G133" s="22">
        <f>60</f>
        <v>60</v>
      </c>
      <c r="H133" s="47">
        <f>55</f>
        <v>55</v>
      </c>
      <c r="I133" s="22">
        <f t="shared" ref="I133:I135" si="59">(H133/11)*12</f>
        <v>60</v>
      </c>
      <c r="J133" s="24">
        <f>'FY21 w YOY comp'!K147</f>
        <v>23.88</v>
      </c>
      <c r="K133" s="190" t="s">
        <v>522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hidden="1" customHeight="1" x14ac:dyDescent="0.25">
      <c r="A134" s="48" t="s">
        <v>243</v>
      </c>
      <c r="B134" s="21"/>
      <c r="C134" s="21"/>
      <c r="D134" s="21"/>
      <c r="E134" s="21"/>
      <c r="F134" s="47">
        <f>44.66</f>
        <v>44.66</v>
      </c>
      <c r="G134" s="55"/>
      <c r="H134" s="47">
        <f>112.64</f>
        <v>112.64</v>
      </c>
      <c r="I134" s="22">
        <f t="shared" si="59"/>
        <v>122.88</v>
      </c>
      <c r="J134" s="24">
        <f>'FY21 w YOY comp'!K148</f>
        <v>1000</v>
      </c>
      <c r="K134" s="190" t="s">
        <v>523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hidden="1" customHeight="1" x14ac:dyDescent="0.25">
      <c r="A135" s="46" t="s">
        <v>246</v>
      </c>
      <c r="B135" s="21"/>
      <c r="C135" s="21"/>
      <c r="D135" s="47">
        <f>186</f>
        <v>186</v>
      </c>
      <c r="E135" s="47">
        <f t="shared" ref="E135:F135" si="60">260</f>
        <v>260</v>
      </c>
      <c r="F135" s="47">
        <f t="shared" si="60"/>
        <v>260</v>
      </c>
      <c r="G135" s="235">
        <f>240</f>
        <v>240</v>
      </c>
      <c r="H135" s="47">
        <f>220</f>
        <v>220</v>
      </c>
      <c r="I135" s="22">
        <f t="shared" si="59"/>
        <v>240</v>
      </c>
      <c r="J135" s="237">
        <f>'FY21 w YOY comp'!K149</f>
        <v>240</v>
      </c>
      <c r="K135" s="190" t="s">
        <v>247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5">
      <c r="A136" s="122" t="s">
        <v>248</v>
      </c>
      <c r="B136" s="178">
        <f t="shared" ref="B136:F136" si="61">SUM(B128:B135)</f>
        <v>1274.3599999999999</v>
      </c>
      <c r="C136" s="178">
        <f t="shared" si="61"/>
        <v>1362.05</v>
      </c>
      <c r="D136" s="178">
        <f t="shared" si="61"/>
        <v>1732.88</v>
      </c>
      <c r="E136" s="178">
        <f t="shared" si="61"/>
        <v>2277.88</v>
      </c>
      <c r="F136" s="178">
        <f t="shared" si="61"/>
        <v>2936.97</v>
      </c>
      <c r="G136" s="178">
        <f>SUM(G129:G135)</f>
        <v>2891.88</v>
      </c>
      <c r="H136" s="178">
        <f t="shared" ref="H136:I136" si="62">SUM(H128:H135)</f>
        <v>2805.99</v>
      </c>
      <c r="I136" s="178">
        <f t="shared" si="62"/>
        <v>3040.5936363636361</v>
      </c>
      <c r="J136" s="180">
        <f>'FY21 w YOY comp'!K150</f>
        <v>3957.88</v>
      </c>
      <c r="K136" s="131" t="s">
        <v>524</v>
      </c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</row>
    <row r="137" spans="1:27" ht="15.75" hidden="1" customHeight="1" x14ac:dyDescent="0.25">
      <c r="A137" s="122" t="s">
        <v>249</v>
      </c>
      <c r="B137" s="123">
        <f>421.94</f>
        <v>421.94</v>
      </c>
      <c r="C137" s="123">
        <f>677.37</f>
        <v>677.37</v>
      </c>
      <c r="D137" s="123">
        <f>338.15</f>
        <v>338.15</v>
      </c>
      <c r="E137" s="125"/>
      <c r="F137" s="124"/>
      <c r="G137" s="59"/>
      <c r="H137" s="125"/>
      <c r="I137" s="124"/>
      <c r="J137" s="61">
        <f>'FY21 w YOY comp'!K151</f>
        <v>0</v>
      </c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</row>
    <row r="138" spans="1:27" ht="15.75" customHeight="1" x14ac:dyDescent="0.25">
      <c r="A138" s="122" t="s">
        <v>250</v>
      </c>
      <c r="B138" s="123">
        <f>30.6</f>
        <v>30.6</v>
      </c>
      <c r="C138" s="123">
        <f>22.3</f>
        <v>22.3</v>
      </c>
      <c r="D138" s="123">
        <f>41.3</f>
        <v>41.3</v>
      </c>
      <c r="E138" s="123">
        <f>734.04</f>
        <v>734.04</v>
      </c>
      <c r="F138" s="123">
        <f>-284.21</f>
        <v>-284.20999999999998</v>
      </c>
      <c r="G138" s="124">
        <f>70</f>
        <v>70</v>
      </c>
      <c r="H138" s="123">
        <f>-649.89</f>
        <v>-649.89</v>
      </c>
      <c r="I138" s="124">
        <f>H138</f>
        <v>-649.89</v>
      </c>
      <c r="J138" s="127">
        <f>'FY21 w YOY comp'!K152</f>
        <v>50</v>
      </c>
      <c r="K138" s="131" t="s">
        <v>525</v>
      </c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</row>
    <row r="139" spans="1:27" ht="15.75" hidden="1" customHeight="1" x14ac:dyDescent="0.25">
      <c r="A139" s="122" t="s">
        <v>252</v>
      </c>
      <c r="B139" s="125"/>
      <c r="C139" s="125"/>
      <c r="D139" s="125"/>
      <c r="E139" s="125"/>
      <c r="F139" s="124"/>
      <c r="G139" s="59"/>
      <c r="H139" s="125"/>
      <c r="I139" s="124">
        <f t="shared" ref="I139:I140" si="63">(H139/9)*12</f>
        <v>0</v>
      </c>
      <c r="J139" s="61">
        <f>'FY21 w YOY comp'!K153</f>
        <v>0</v>
      </c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</row>
    <row r="140" spans="1:27" ht="15.75" hidden="1" customHeight="1" x14ac:dyDescent="0.25">
      <c r="A140" s="122" t="s">
        <v>253</v>
      </c>
      <c r="B140" s="125"/>
      <c r="C140" s="125"/>
      <c r="D140" s="125"/>
      <c r="E140" s="125"/>
      <c r="F140" s="124"/>
      <c r="G140" s="59"/>
      <c r="H140" s="125"/>
      <c r="I140" s="124">
        <f t="shared" si="63"/>
        <v>0</v>
      </c>
      <c r="J140" s="61">
        <f>'FY21 w YOY comp'!K154</f>
        <v>0</v>
      </c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</row>
    <row r="141" spans="1:27" ht="15.75" customHeight="1" x14ac:dyDescent="0.25">
      <c r="A141" s="122" t="s">
        <v>254</v>
      </c>
      <c r="B141" s="123">
        <f>1282.24</f>
        <v>1282.24</v>
      </c>
      <c r="C141" s="123">
        <f>1775.76</f>
        <v>1775.76</v>
      </c>
      <c r="D141" s="123">
        <f>704.64</f>
        <v>704.64</v>
      </c>
      <c r="E141" s="123">
        <f>894.2</f>
        <v>894.2</v>
      </c>
      <c r="F141" s="124"/>
      <c r="G141" s="124"/>
      <c r="H141" s="125"/>
      <c r="I141" s="124"/>
      <c r="J141" s="127">
        <f>'FY21 w YOY comp'!K155</f>
        <v>200</v>
      </c>
      <c r="K141" s="131" t="s">
        <v>255</v>
      </c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  <c r="AA141" s="131"/>
    </row>
    <row r="142" spans="1:27" ht="15.75" customHeight="1" x14ac:dyDescent="0.25">
      <c r="A142" s="122" t="s">
        <v>256</v>
      </c>
      <c r="B142" s="123">
        <f>575</f>
        <v>575</v>
      </c>
      <c r="C142" s="123">
        <f>465</f>
        <v>465</v>
      </c>
      <c r="D142" s="123">
        <f>482.5</f>
        <v>482.5</v>
      </c>
      <c r="E142" s="123">
        <f>440.98</f>
        <v>440.98</v>
      </c>
      <c r="F142" s="123">
        <f>327.98</f>
        <v>327.98</v>
      </c>
      <c r="G142" s="124">
        <f>500</f>
        <v>500</v>
      </c>
      <c r="H142" s="123">
        <f>321</f>
        <v>321</v>
      </c>
      <c r="I142" s="124">
        <f>(H142/11)*12</f>
        <v>350.18181818181819</v>
      </c>
      <c r="J142" s="127">
        <f>'FY21 w YOY comp'!K156</f>
        <v>525</v>
      </c>
      <c r="K142" s="131" t="s">
        <v>526</v>
      </c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</row>
    <row r="143" spans="1:27" ht="15.75" customHeight="1" x14ac:dyDescent="0.25">
      <c r="A143" s="217" t="s">
        <v>258</v>
      </c>
      <c r="B143" s="218">
        <f t="shared" ref="B143:F143" si="64">(((((((((((((((((B104)+(B105)))+(B106))+(B107))+(B113))+(B114))+(B118))+(B122))+(B126))+(B127))+(B136))+(B137))+(B138))+(B139))+(B140))+(B141))+(B142)</f>
        <v>9423.01</v>
      </c>
      <c r="C143" s="218">
        <f t="shared" si="64"/>
        <v>9497.89</v>
      </c>
      <c r="D143" s="218">
        <f t="shared" si="64"/>
        <v>8317.27</v>
      </c>
      <c r="E143" s="218">
        <f t="shared" si="64"/>
        <v>14079.2</v>
      </c>
      <c r="F143" s="218">
        <f t="shared" si="64"/>
        <v>12930.16</v>
      </c>
      <c r="G143" s="218">
        <f>SUM(G105:G107)+G113+G114+G118+G122+G126+G127+SUM(G136:G142)</f>
        <v>13084.68</v>
      </c>
      <c r="H143" s="218">
        <f t="shared" ref="H143:I143" si="65">(((((((((((((((((H104)+(H105)))+(H106))+(H107))+(H113))+(H114))+(H118))+(H122))+(H126))+(H127))+(H136))+(H137))+(H138))+(H139))+(H140))+(H141))+(H142)</f>
        <v>10054.58</v>
      </c>
      <c r="I143" s="218">
        <f t="shared" si="65"/>
        <v>10832.229818181819</v>
      </c>
      <c r="J143" s="220">
        <f>'FY21 w YOY comp'!K157</f>
        <v>16561.88</v>
      </c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</row>
    <row r="144" spans="1:27" ht="15.75" customHeight="1" x14ac:dyDescent="0.25">
      <c r="A144" s="20"/>
      <c r="B144" s="21"/>
      <c r="C144" s="21"/>
      <c r="D144" s="21"/>
      <c r="E144" s="47"/>
      <c r="F144" s="47"/>
      <c r="G144" s="22"/>
      <c r="H144" s="21"/>
      <c r="I144" s="22"/>
      <c r="J144" s="24">
        <f>'FY21 w YOY comp'!K158</f>
        <v>0</v>
      </c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5">
      <c r="A145" s="122" t="s">
        <v>259</v>
      </c>
      <c r="B145" s="125"/>
      <c r="C145" s="125"/>
      <c r="D145" s="125"/>
      <c r="E145" s="123">
        <f t="shared" ref="E145:F145" si="66">33121.83</f>
        <v>33121.83</v>
      </c>
      <c r="F145" s="123">
        <f t="shared" si="66"/>
        <v>33121.83</v>
      </c>
      <c r="G145" s="124"/>
      <c r="H145" s="125"/>
      <c r="I145" s="124"/>
      <c r="J145" s="127">
        <f>'FY21 w YOY comp'!K159</f>
        <v>0</v>
      </c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</row>
    <row r="146" spans="1:27" ht="15.75" customHeight="1" x14ac:dyDescent="0.25">
      <c r="A146" s="122" t="s">
        <v>260</v>
      </c>
      <c r="B146" s="125"/>
      <c r="C146" s="125"/>
      <c r="D146" s="123">
        <f>3675</f>
        <v>3675</v>
      </c>
      <c r="E146" s="123">
        <f>9196.1</f>
        <v>9196.1</v>
      </c>
      <c r="F146" s="123">
        <f>30.51</f>
        <v>30.51</v>
      </c>
      <c r="G146" s="124"/>
      <c r="H146" s="125"/>
      <c r="I146" s="124"/>
      <c r="J146" s="127">
        <f>'FY21 w YOY comp'!K160</f>
        <v>0</v>
      </c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</row>
    <row r="147" spans="1:27" ht="15.75" hidden="1" customHeight="1" x14ac:dyDescent="0.25">
      <c r="A147" s="46" t="s">
        <v>261</v>
      </c>
      <c r="B147" s="47">
        <f t="shared" ref="B147:C147" si="67">91128</f>
        <v>91128</v>
      </c>
      <c r="C147" s="47">
        <f t="shared" si="67"/>
        <v>91128</v>
      </c>
      <c r="D147" s="47">
        <f>61475.8</f>
        <v>61475.8</v>
      </c>
      <c r="E147" s="47">
        <f t="shared" ref="E147:G147" si="68">19962.72</f>
        <v>19962.72</v>
      </c>
      <c r="F147" s="47">
        <f t="shared" si="68"/>
        <v>19962.72</v>
      </c>
      <c r="G147" s="22">
        <f t="shared" si="68"/>
        <v>19962.72</v>
      </c>
      <c r="H147" s="47">
        <f>18299.16</f>
        <v>18299.16</v>
      </c>
      <c r="I147" s="22">
        <f>(H147/11)*12</f>
        <v>19962.72</v>
      </c>
      <c r="J147" s="24">
        <f>'FY21 w YOY comp'!K161</f>
        <v>37825</v>
      </c>
      <c r="K147" s="1" t="s">
        <v>527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hidden="1" customHeight="1" x14ac:dyDescent="0.25">
      <c r="A148" s="46" t="s">
        <v>263</v>
      </c>
      <c r="B148" s="21"/>
      <c r="C148" s="21"/>
      <c r="D148" s="47">
        <f>22077.2</f>
        <v>22077.200000000001</v>
      </c>
      <c r="E148" s="21"/>
      <c r="F148" s="22"/>
      <c r="G148" s="22"/>
      <c r="H148" s="21"/>
      <c r="I148" s="22"/>
      <c r="J148" s="24">
        <f>'FY21 w YOY comp'!K162</f>
        <v>0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5">
      <c r="A149" s="122" t="s">
        <v>264</v>
      </c>
      <c r="B149" s="178">
        <f t="shared" ref="B149:I149" si="69">SUM(B147:B148)</f>
        <v>91128</v>
      </c>
      <c r="C149" s="178">
        <f t="shared" si="69"/>
        <v>91128</v>
      </c>
      <c r="D149" s="178">
        <f t="shared" si="69"/>
        <v>83553</v>
      </c>
      <c r="E149" s="178">
        <f t="shared" si="69"/>
        <v>19962.72</v>
      </c>
      <c r="F149" s="178">
        <f t="shared" si="69"/>
        <v>19962.72</v>
      </c>
      <c r="G149" s="178">
        <f t="shared" si="69"/>
        <v>19962.72</v>
      </c>
      <c r="H149" s="178">
        <f t="shared" si="69"/>
        <v>18299.16</v>
      </c>
      <c r="I149" s="178">
        <f t="shared" si="69"/>
        <v>19962.72</v>
      </c>
      <c r="J149" s="180">
        <f>'FY21 w YOY comp'!K163</f>
        <v>37825</v>
      </c>
      <c r="K149" s="131" t="s">
        <v>527</v>
      </c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</row>
    <row r="150" spans="1:27" ht="15.75" customHeight="1" x14ac:dyDescent="0.25">
      <c r="A150" s="122" t="s">
        <v>265</v>
      </c>
      <c r="B150" s="125"/>
      <c r="C150" s="125"/>
      <c r="D150" s="125"/>
      <c r="E150" s="125"/>
      <c r="F150" s="124"/>
      <c r="G150" s="125"/>
      <c r="H150" s="125"/>
      <c r="I150" s="125"/>
      <c r="J150" s="127">
        <f>'FY21 w YOY comp'!K164</f>
        <v>6147.04</v>
      </c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</row>
    <row r="151" spans="1:27" ht="15.75" hidden="1" customHeight="1" x14ac:dyDescent="0.25">
      <c r="A151" s="122" t="s">
        <v>267</v>
      </c>
      <c r="B151" s="125"/>
      <c r="C151" s="125"/>
      <c r="D151" s="125"/>
      <c r="E151" s="125"/>
      <c r="F151" s="124"/>
      <c r="G151" s="125"/>
      <c r="H151" s="125"/>
      <c r="I151" s="125"/>
      <c r="J151" s="240">
        <f>'FY21 w YOY comp'!K165</f>
        <v>0</v>
      </c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</row>
    <row r="152" spans="1:27" ht="15.75" hidden="1" customHeight="1" x14ac:dyDescent="0.25">
      <c r="A152" s="46" t="s">
        <v>268</v>
      </c>
      <c r="B152" s="21"/>
      <c r="C152" s="21"/>
      <c r="D152" s="21"/>
      <c r="E152" s="21"/>
      <c r="F152" s="22"/>
      <c r="G152" s="21"/>
      <c r="H152" s="21"/>
      <c r="I152" s="21"/>
      <c r="J152" s="245">
        <f>'FY21 w YOY comp'!K166</f>
        <v>0</v>
      </c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hidden="1" customHeight="1" x14ac:dyDescent="0.25">
      <c r="A153" s="46" t="s">
        <v>269</v>
      </c>
      <c r="B153" s="21"/>
      <c r="C153" s="21"/>
      <c r="D153" s="21"/>
      <c r="E153" s="21"/>
      <c r="F153" s="22"/>
      <c r="G153" s="21"/>
      <c r="H153" s="21"/>
      <c r="I153" s="21"/>
      <c r="J153" s="245">
        <f>'FY21 w YOY comp'!K167</f>
        <v>0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hidden="1" customHeight="1" x14ac:dyDescent="0.25">
      <c r="A154" s="46" t="s">
        <v>270</v>
      </c>
      <c r="B154" s="21"/>
      <c r="C154" s="21"/>
      <c r="D154" s="21"/>
      <c r="E154" s="21"/>
      <c r="F154" s="22"/>
      <c r="G154" s="21"/>
      <c r="H154" s="21"/>
      <c r="I154" s="21"/>
      <c r="J154" s="245">
        <f>'FY21 w YOY comp'!K168</f>
        <v>0</v>
      </c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hidden="1" customHeight="1" x14ac:dyDescent="0.25">
      <c r="A155" s="46" t="s">
        <v>271</v>
      </c>
      <c r="B155" s="21"/>
      <c r="C155" s="21"/>
      <c r="D155" s="21"/>
      <c r="E155" s="21"/>
      <c r="F155" s="22"/>
      <c r="G155" s="21"/>
      <c r="H155" s="21"/>
      <c r="I155" s="21"/>
      <c r="J155" s="245">
        <f>'FY21 w YOY comp'!K169</f>
        <v>0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hidden="1" customHeight="1" x14ac:dyDescent="0.25">
      <c r="A156" s="46" t="s">
        <v>272</v>
      </c>
      <c r="B156" s="21"/>
      <c r="C156" s="47">
        <f>950</f>
        <v>950</v>
      </c>
      <c r="D156" s="21"/>
      <c r="E156" s="21"/>
      <c r="F156" s="22"/>
      <c r="G156" s="21"/>
      <c r="H156" s="21"/>
      <c r="I156" s="21"/>
      <c r="J156" s="245">
        <f>'FY21 w YOY comp'!K170</f>
        <v>0</v>
      </c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hidden="1" customHeight="1" x14ac:dyDescent="0.25">
      <c r="A157" s="46" t="s">
        <v>273</v>
      </c>
      <c r="B157" s="21"/>
      <c r="C157" s="21"/>
      <c r="D157" s="21"/>
      <c r="E157" s="21"/>
      <c r="F157" s="22"/>
      <c r="G157" s="21"/>
      <c r="H157" s="21"/>
      <c r="I157" s="21"/>
      <c r="J157" s="245">
        <f>'FY21 w YOY comp'!K171</f>
        <v>0</v>
      </c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hidden="1" customHeight="1" x14ac:dyDescent="0.25">
      <c r="A158" s="122" t="s">
        <v>274</v>
      </c>
      <c r="B158" s="178">
        <f t="shared" ref="B158:I158" si="70">SUM(B152:B157)</f>
        <v>0</v>
      </c>
      <c r="C158" s="178">
        <f t="shared" si="70"/>
        <v>950</v>
      </c>
      <c r="D158" s="178">
        <f t="shared" si="70"/>
        <v>0</v>
      </c>
      <c r="E158" s="178">
        <f t="shared" si="70"/>
        <v>0</v>
      </c>
      <c r="F158" s="178">
        <f t="shared" si="70"/>
        <v>0</v>
      </c>
      <c r="G158" s="178">
        <f t="shared" si="70"/>
        <v>0</v>
      </c>
      <c r="H158" s="178">
        <f t="shared" si="70"/>
        <v>0</v>
      </c>
      <c r="I158" s="178">
        <f t="shared" si="70"/>
        <v>0</v>
      </c>
      <c r="J158" s="180">
        <f>'FY21 w YOY comp'!K172</f>
        <v>0</v>
      </c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  <c r="AA158" s="131"/>
    </row>
    <row r="159" spans="1:27" ht="15.75" customHeight="1" x14ac:dyDescent="0.25">
      <c r="A159" s="122" t="s">
        <v>275</v>
      </c>
      <c r="B159" s="123">
        <f>52.25</f>
        <v>52.25</v>
      </c>
      <c r="C159" s="123">
        <f>389.5</f>
        <v>389.5</v>
      </c>
      <c r="D159" s="123">
        <f>123.75</f>
        <v>123.75</v>
      </c>
      <c r="E159" s="123">
        <f>721.45</f>
        <v>721.45</v>
      </c>
      <c r="F159" s="123">
        <f>611.45</f>
        <v>611.45000000000005</v>
      </c>
      <c r="G159" s="124"/>
      <c r="H159" s="123">
        <f>435</f>
        <v>435</v>
      </c>
      <c r="I159" s="124">
        <f>H159</f>
        <v>435</v>
      </c>
      <c r="J159" s="127">
        <f>'FY21 w YOY comp'!K173</f>
        <v>0</v>
      </c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</row>
    <row r="160" spans="1:27" ht="15.75" customHeight="1" x14ac:dyDescent="0.25">
      <c r="A160" s="122" t="s">
        <v>276</v>
      </c>
      <c r="B160" s="123">
        <f>594.87</f>
        <v>594.87</v>
      </c>
      <c r="C160" s="123">
        <f>856.75</f>
        <v>856.75</v>
      </c>
      <c r="D160" s="123">
        <f>1124.09</f>
        <v>1124.0899999999999</v>
      </c>
      <c r="E160" s="123">
        <f>772.19</f>
        <v>772.19</v>
      </c>
      <c r="F160" s="123">
        <f>793.74</f>
        <v>793.74</v>
      </c>
      <c r="G160" s="124">
        <f>750</f>
        <v>750</v>
      </c>
      <c r="H160" s="123">
        <f>460.24</f>
        <v>460.24</v>
      </c>
      <c r="I160" s="124">
        <f>(H160/11)*12</f>
        <v>502.08000000000004</v>
      </c>
      <c r="J160" s="127">
        <f>'FY21 w YOY comp'!K174</f>
        <v>1000</v>
      </c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  <c r="AA160" s="131"/>
    </row>
    <row r="161" spans="1:27" ht="15.75" hidden="1" customHeight="1" x14ac:dyDescent="0.25">
      <c r="A161" s="46" t="s">
        <v>278</v>
      </c>
      <c r="B161" s="47">
        <f>58.3</f>
        <v>58.3</v>
      </c>
      <c r="C161" s="21"/>
      <c r="D161" s="47">
        <f>117.5</f>
        <v>117.5</v>
      </c>
      <c r="E161" s="21"/>
      <c r="F161" s="22"/>
      <c r="G161" s="22"/>
      <c r="H161" s="21"/>
      <c r="I161" s="22"/>
      <c r="J161" s="24">
        <f>'FY21 w YOY comp'!K175</f>
        <v>0</v>
      </c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hidden="1" customHeight="1" x14ac:dyDescent="0.25">
      <c r="A162" s="46" t="s">
        <v>279</v>
      </c>
      <c r="B162" s="47">
        <f>1746</f>
        <v>1746</v>
      </c>
      <c r="C162" s="47">
        <f>3168</f>
        <v>3168</v>
      </c>
      <c r="D162" s="47">
        <f>880</f>
        <v>880</v>
      </c>
      <c r="E162" s="47">
        <f>4347.49</f>
        <v>4347.49</v>
      </c>
      <c r="F162" s="47">
        <f>6888.49</f>
        <v>6888.49</v>
      </c>
      <c r="G162" s="22">
        <f>2470</f>
        <v>2470</v>
      </c>
      <c r="H162" s="47">
        <f>3366.67</f>
        <v>3366.67</v>
      </c>
      <c r="I162" s="22">
        <f t="shared" ref="I162:I164" si="71">(H162/11)*12</f>
        <v>3672.7309090909093</v>
      </c>
      <c r="J162" s="24">
        <f>'FY21 w YOY comp'!K176</f>
        <v>7000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hidden="1" customHeight="1" x14ac:dyDescent="0.25">
      <c r="A163" s="46" t="s">
        <v>281</v>
      </c>
      <c r="B163" s="47">
        <f>254.56</f>
        <v>254.56</v>
      </c>
      <c r="C163" s="47">
        <f>224.57</f>
        <v>224.57</v>
      </c>
      <c r="D163" s="47">
        <f>920.53</f>
        <v>920.53</v>
      </c>
      <c r="E163" s="47">
        <f>597.15</f>
        <v>597.15</v>
      </c>
      <c r="F163" s="47">
        <f>684.6</f>
        <v>684.6</v>
      </c>
      <c r="G163" s="22">
        <f>1889.74</f>
        <v>1889.74</v>
      </c>
      <c r="H163" s="47">
        <f>1404.46</f>
        <v>1404.46</v>
      </c>
      <c r="I163" s="22">
        <f t="shared" si="71"/>
        <v>1532.1381818181819</v>
      </c>
      <c r="J163" s="24">
        <f>'FY21 w YOY comp'!K177</f>
        <v>2000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hidden="1" customHeight="1" x14ac:dyDescent="0.25">
      <c r="A164" s="46" t="s">
        <v>282</v>
      </c>
      <c r="B164" s="21"/>
      <c r="C164" s="21"/>
      <c r="D164" s="21"/>
      <c r="E164" s="21"/>
      <c r="F164" s="47">
        <f>146.13</f>
        <v>146.13</v>
      </c>
      <c r="G164" s="22">
        <f>1000</f>
        <v>1000</v>
      </c>
      <c r="H164" s="47">
        <f>146.13</f>
        <v>146.13</v>
      </c>
      <c r="I164" s="22">
        <f t="shared" si="71"/>
        <v>159.41454545454545</v>
      </c>
      <c r="J164" s="24">
        <f>'FY21 w YOY comp'!K178</f>
        <v>1000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5">
      <c r="A165" s="122" t="s">
        <v>284</v>
      </c>
      <c r="B165" s="178">
        <f t="shared" ref="B165:F165" si="72">SUM(B161:B164)</f>
        <v>2058.86</v>
      </c>
      <c r="C165" s="178">
        <f t="shared" si="72"/>
        <v>3392.57</v>
      </c>
      <c r="D165" s="178">
        <f t="shared" si="72"/>
        <v>1918.03</v>
      </c>
      <c r="E165" s="178">
        <f t="shared" si="72"/>
        <v>4944.6399999999994</v>
      </c>
      <c r="F165" s="178">
        <f t="shared" si="72"/>
        <v>7719.22</v>
      </c>
      <c r="G165" s="178">
        <f>SUM(G162:G164)</f>
        <v>5359.74</v>
      </c>
      <c r="H165" s="178">
        <f t="shared" ref="H165:I165" si="73">SUM(H161:H164)</f>
        <v>4917.26</v>
      </c>
      <c r="I165" s="178">
        <f t="shared" si="73"/>
        <v>5364.2836363636361</v>
      </c>
      <c r="J165" s="180">
        <f>'FY21 w YOY comp'!K179</f>
        <v>10000</v>
      </c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</row>
    <row r="166" spans="1:27" ht="15.75" customHeight="1" x14ac:dyDescent="0.25">
      <c r="A166" s="122" t="s">
        <v>285</v>
      </c>
      <c r="B166" s="123">
        <f>439.17</f>
        <v>439.17</v>
      </c>
      <c r="C166" s="125"/>
      <c r="D166" s="123">
        <f>639.05</f>
        <v>639.04999999999995</v>
      </c>
      <c r="E166" s="123">
        <f>694.59</f>
        <v>694.59</v>
      </c>
      <c r="F166" s="123">
        <f>815.33</f>
        <v>815.33</v>
      </c>
      <c r="G166" s="124"/>
      <c r="H166" s="123">
        <f>1010</f>
        <v>1010</v>
      </c>
      <c r="I166" s="124">
        <f t="shared" ref="I166:I167" si="74">(H166/11)*12</f>
        <v>1101.8181818181818</v>
      </c>
      <c r="J166" s="127">
        <f>'FY21 w YOY comp'!K180</f>
        <v>1000</v>
      </c>
      <c r="K166" s="131" t="s">
        <v>528</v>
      </c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</row>
    <row r="167" spans="1:27" ht="15.75" customHeight="1" x14ac:dyDescent="0.25">
      <c r="A167" s="122" t="s">
        <v>287</v>
      </c>
      <c r="B167" s="123">
        <f>1707.6</f>
        <v>1707.6</v>
      </c>
      <c r="C167" s="123">
        <f>1656.84</f>
        <v>1656.84</v>
      </c>
      <c r="D167" s="123">
        <f>1929.25</f>
        <v>1929.25</v>
      </c>
      <c r="E167" s="123">
        <f>3768.81</f>
        <v>3768.81</v>
      </c>
      <c r="F167" s="123">
        <f>4180.82</f>
        <v>4180.82</v>
      </c>
      <c r="G167" s="124">
        <f>3500</f>
        <v>3500</v>
      </c>
      <c r="H167" s="123">
        <f>3412.63</f>
        <v>3412.63</v>
      </c>
      <c r="I167" s="124">
        <f t="shared" si="74"/>
        <v>3722.869090909091</v>
      </c>
      <c r="J167" s="127">
        <f>'FY21 w YOY comp'!K181</f>
        <v>3120</v>
      </c>
      <c r="K167" s="131" t="s">
        <v>529</v>
      </c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 s="131"/>
    </row>
    <row r="168" spans="1:27" ht="15.75" hidden="1" customHeight="1" x14ac:dyDescent="0.25">
      <c r="A168" s="46" t="s">
        <v>292</v>
      </c>
      <c r="B168" s="21"/>
      <c r="C168" s="21"/>
      <c r="D168" s="21"/>
      <c r="E168" s="21"/>
      <c r="F168" s="22"/>
      <c r="G168" s="55"/>
      <c r="H168" s="21"/>
      <c r="I168" s="22"/>
      <c r="J168" s="73">
        <f>'FY21 w YOY comp'!K185</f>
        <v>0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hidden="1" customHeight="1" x14ac:dyDescent="0.25">
      <c r="A169" s="46" t="s">
        <v>293</v>
      </c>
      <c r="B169" s="47">
        <f>12377.55</f>
        <v>12377.55</v>
      </c>
      <c r="C169" s="47">
        <f>12476.3</f>
        <v>12476.3</v>
      </c>
      <c r="D169" s="47">
        <f>11831.65</f>
        <v>11831.65</v>
      </c>
      <c r="E169" s="47">
        <f>10586.42</f>
        <v>10586.42</v>
      </c>
      <c r="F169" s="47">
        <f>7782.47</f>
        <v>7782.47</v>
      </c>
      <c r="G169" s="22"/>
      <c r="H169" s="47">
        <f>6273.03</f>
        <v>6273.03</v>
      </c>
      <c r="I169" s="22">
        <f t="shared" ref="I169:I170" si="75">(H169/11)*12</f>
        <v>6843.3054545454543</v>
      </c>
      <c r="J169" s="24">
        <f>'FY21 w YOY comp'!K186</f>
        <v>8000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hidden="1" customHeight="1" x14ac:dyDescent="0.25">
      <c r="A170" s="46" t="s">
        <v>295</v>
      </c>
      <c r="B170" s="47">
        <f>3060.21</f>
        <v>3060.21</v>
      </c>
      <c r="C170" s="47">
        <f>2985.22</f>
        <v>2985.22</v>
      </c>
      <c r="D170" s="47">
        <f>4021.08</f>
        <v>4021.08</v>
      </c>
      <c r="E170" s="47">
        <f>4376.91</f>
        <v>4376.91</v>
      </c>
      <c r="F170" s="47">
        <f>3097.28</f>
        <v>3097.28</v>
      </c>
      <c r="G170" s="22"/>
      <c r="H170" s="47">
        <f>2626.23</f>
        <v>2626.23</v>
      </c>
      <c r="I170" s="22">
        <f t="shared" si="75"/>
        <v>2864.9781818181818</v>
      </c>
      <c r="J170" s="24">
        <f>'FY21 w YOY comp'!K187</f>
        <v>1500</v>
      </c>
      <c r="K170" s="1" t="s">
        <v>530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5">
      <c r="A171" s="122" t="s">
        <v>300</v>
      </c>
      <c r="B171" s="178">
        <f t="shared" ref="B171:F171" si="76">SUM(B168:B170)</f>
        <v>15437.759999999998</v>
      </c>
      <c r="C171" s="178">
        <f t="shared" si="76"/>
        <v>15461.519999999999</v>
      </c>
      <c r="D171" s="178">
        <f t="shared" si="76"/>
        <v>15852.73</v>
      </c>
      <c r="E171" s="178">
        <f t="shared" si="76"/>
        <v>14963.33</v>
      </c>
      <c r="F171" s="178">
        <f t="shared" si="76"/>
        <v>10879.75</v>
      </c>
      <c r="G171" s="178">
        <f>14810</f>
        <v>14810</v>
      </c>
      <c r="H171" s="178">
        <f t="shared" ref="H171:I171" si="77">SUM(H168:H170)</f>
        <v>8899.26</v>
      </c>
      <c r="I171" s="178">
        <f t="shared" si="77"/>
        <v>9708.2836363636361</v>
      </c>
      <c r="J171" s="180">
        <f>'FY21 w YOY comp'!K190</f>
        <v>9500</v>
      </c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  <c r="AA171" s="131"/>
    </row>
    <row r="172" spans="1:27" ht="15.75" customHeight="1" x14ac:dyDescent="0.25">
      <c r="A172" s="122" t="s">
        <v>301</v>
      </c>
      <c r="B172" s="123">
        <f t="shared" ref="B172:D172" si="78">890.4</f>
        <v>890.4</v>
      </c>
      <c r="C172" s="123">
        <f t="shared" si="78"/>
        <v>890.4</v>
      </c>
      <c r="D172" s="123">
        <f t="shared" si="78"/>
        <v>890.4</v>
      </c>
      <c r="E172" s="123">
        <f>1086.06</f>
        <v>1086.06</v>
      </c>
      <c r="F172" s="123">
        <f>1738.72</f>
        <v>1738.72</v>
      </c>
      <c r="G172" s="124">
        <f>1100</f>
        <v>1100</v>
      </c>
      <c r="H172" s="123">
        <f>1866.77</f>
        <v>1866.77</v>
      </c>
      <c r="I172" s="124">
        <f>(H172/11)*12</f>
        <v>2036.4763636363637</v>
      </c>
      <c r="J172" s="127">
        <f>'FY21 w YOY comp'!K191</f>
        <v>1619.6399999999999</v>
      </c>
      <c r="K172" s="131" t="s">
        <v>531</v>
      </c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  <c r="AA172" s="131"/>
    </row>
    <row r="173" spans="1:27" ht="15.75" hidden="1" customHeight="1" x14ac:dyDescent="0.25">
      <c r="A173" s="46" t="s">
        <v>303</v>
      </c>
      <c r="B173" s="21"/>
      <c r="C173" s="21"/>
      <c r="D173" s="21"/>
      <c r="E173" s="21"/>
      <c r="F173" s="22"/>
      <c r="G173" s="267"/>
      <c r="H173" s="21"/>
      <c r="I173" s="267"/>
      <c r="J173" s="269">
        <f>'FY21 w YOY comp'!K192</f>
        <v>0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hidden="1" customHeight="1" x14ac:dyDescent="0.25">
      <c r="A174" s="46" t="s">
        <v>305</v>
      </c>
      <c r="B174" s="47">
        <f>5245</f>
        <v>5245</v>
      </c>
      <c r="C174" s="47">
        <f>3210</f>
        <v>3210</v>
      </c>
      <c r="D174" s="47">
        <f>3140</f>
        <v>3140</v>
      </c>
      <c r="E174" s="47">
        <f>3984</f>
        <v>3984</v>
      </c>
      <c r="F174" s="47">
        <f>4280.34</f>
        <v>4280.34</v>
      </c>
      <c r="G174" s="22">
        <f>3960</f>
        <v>3960</v>
      </c>
      <c r="H174" s="47">
        <f>4940.34</f>
        <v>4940.34</v>
      </c>
      <c r="I174" s="22">
        <f>H174</f>
        <v>4940.34</v>
      </c>
      <c r="J174" s="24">
        <f>'FY21 w YOY comp'!K193</f>
        <v>5500</v>
      </c>
      <c r="K174" s="1" t="s">
        <v>532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hidden="1" customHeight="1" x14ac:dyDescent="0.25">
      <c r="A175" s="46" t="s">
        <v>308</v>
      </c>
      <c r="B175" s="47">
        <f>852</f>
        <v>852</v>
      </c>
      <c r="C175" s="47">
        <f>253</f>
        <v>253</v>
      </c>
      <c r="D175" s="47">
        <f>1000.19</f>
        <v>1000.19</v>
      </c>
      <c r="E175" s="47">
        <f>800</f>
        <v>800</v>
      </c>
      <c r="F175" s="22"/>
      <c r="G175" s="22">
        <f>5800</f>
        <v>5800</v>
      </c>
      <c r="H175" s="21">
        <f>340</f>
        <v>340</v>
      </c>
      <c r="I175" s="22">
        <f>(H175/11)*12</f>
        <v>370.90909090909093</v>
      </c>
      <c r="J175" s="24">
        <f>'FY21 w YOY comp'!K194</f>
        <v>5000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5">
      <c r="A176" s="122" t="s">
        <v>311</v>
      </c>
      <c r="B176" s="178">
        <f t="shared" ref="B176:F176" si="79">SUM(B173:B175)</f>
        <v>6097</v>
      </c>
      <c r="C176" s="178">
        <f t="shared" si="79"/>
        <v>3463</v>
      </c>
      <c r="D176" s="178">
        <f t="shared" si="79"/>
        <v>4140.1900000000005</v>
      </c>
      <c r="E176" s="178">
        <f t="shared" si="79"/>
        <v>4784</v>
      </c>
      <c r="F176" s="178">
        <f t="shared" si="79"/>
        <v>4280.34</v>
      </c>
      <c r="G176" s="178">
        <f>SUM(G174:G175)</f>
        <v>9760</v>
      </c>
      <c r="H176" s="178">
        <f t="shared" ref="H176:I176" si="80">SUM(H173:H175)</f>
        <v>5280.34</v>
      </c>
      <c r="I176" s="178">
        <f t="shared" si="80"/>
        <v>5311.2490909090911</v>
      </c>
      <c r="J176" s="180">
        <f>'FY21 w YOY comp'!K195</f>
        <v>10500</v>
      </c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  <c r="AA176" s="131"/>
    </row>
    <row r="177" spans="1:27" ht="15.75" customHeight="1" x14ac:dyDescent="0.25">
      <c r="A177" s="122" t="s">
        <v>312</v>
      </c>
      <c r="B177" s="123">
        <f>5268</f>
        <v>5268</v>
      </c>
      <c r="C177" s="123">
        <f>5344</f>
        <v>5344</v>
      </c>
      <c r="D177" s="123">
        <f>5422</f>
        <v>5422</v>
      </c>
      <c r="E177" s="123">
        <f>5709</f>
        <v>5709</v>
      </c>
      <c r="F177" s="123">
        <f>6382.5</f>
        <v>6382.5</v>
      </c>
      <c r="G177" s="124">
        <f>6000</f>
        <v>6000</v>
      </c>
      <c r="H177" s="123">
        <f>5310.75</f>
        <v>5310.75</v>
      </c>
      <c r="I177" s="124">
        <f>(H177/11)*12</f>
        <v>5793.545454545455</v>
      </c>
      <c r="J177" s="127">
        <f>'FY21 w YOY comp'!K196</f>
        <v>6000</v>
      </c>
      <c r="K177" s="131" t="s">
        <v>533</v>
      </c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</row>
    <row r="178" spans="1:27" ht="15.75" customHeight="1" x14ac:dyDescent="0.25">
      <c r="A178" s="122" t="s">
        <v>315</v>
      </c>
      <c r="B178" s="123">
        <f t="shared" ref="B178:C178" si="81">1</f>
        <v>1</v>
      </c>
      <c r="C178" s="123">
        <f t="shared" si="81"/>
        <v>1</v>
      </c>
      <c r="D178" s="123">
        <f>68.53</f>
        <v>68.53</v>
      </c>
      <c r="E178" s="123">
        <f t="shared" ref="E178:F178" si="82">45.41</f>
        <v>45.41</v>
      </c>
      <c r="F178" s="123">
        <f t="shared" si="82"/>
        <v>45.41</v>
      </c>
      <c r="G178" s="124">
        <f>45</f>
        <v>45</v>
      </c>
      <c r="H178" s="123">
        <f>57.3</f>
        <v>57.3</v>
      </c>
      <c r="I178" s="124">
        <f>H178</f>
        <v>57.3</v>
      </c>
      <c r="J178" s="127">
        <f>'FY21 w YOY comp'!K197</f>
        <v>1</v>
      </c>
      <c r="K178" s="131" t="s">
        <v>317</v>
      </c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  <c r="AA178" s="131"/>
    </row>
    <row r="179" spans="1:27" ht="15.75" customHeight="1" x14ac:dyDescent="0.25">
      <c r="A179" s="122" t="s">
        <v>318</v>
      </c>
      <c r="B179" s="123">
        <f>1110</f>
        <v>1110</v>
      </c>
      <c r="C179" s="123">
        <f>1136.5</f>
        <v>1136.5</v>
      </c>
      <c r="D179" s="123">
        <f>1498.75</f>
        <v>1498.75</v>
      </c>
      <c r="E179" s="123">
        <f>1463.98</f>
        <v>1463.98</v>
      </c>
      <c r="F179" s="123">
        <f>1342.63</f>
        <v>1342.63</v>
      </c>
      <c r="G179" s="124">
        <f>1600</f>
        <v>1600</v>
      </c>
      <c r="H179" s="123">
        <f>1673.41</f>
        <v>1673.41</v>
      </c>
      <c r="I179" s="124">
        <f>(H179/11)*12</f>
        <v>1825.5381818181818</v>
      </c>
      <c r="J179" s="127">
        <f>'FY21 w YOY comp'!K198</f>
        <v>1882.56</v>
      </c>
      <c r="K179" s="274" t="s">
        <v>534</v>
      </c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  <c r="AA179" s="131"/>
    </row>
    <row r="180" spans="1:27" ht="15.75" customHeight="1" x14ac:dyDescent="0.25">
      <c r="A180" s="122" t="s">
        <v>320</v>
      </c>
      <c r="B180" s="123"/>
      <c r="C180" s="123"/>
      <c r="D180" s="123"/>
      <c r="E180" s="123"/>
      <c r="F180" s="123"/>
      <c r="G180" s="124">
        <f>500</f>
        <v>500</v>
      </c>
      <c r="H180" s="123"/>
      <c r="I180" s="124"/>
      <c r="J180" s="127">
        <f>'FY21 w YOY comp'!K199</f>
        <v>500</v>
      </c>
      <c r="K180" s="274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  <c r="AA180" s="131"/>
    </row>
    <row r="181" spans="1:27" ht="15.75" customHeight="1" x14ac:dyDescent="0.25">
      <c r="A181" s="217" t="s">
        <v>323</v>
      </c>
      <c r="B181" s="218">
        <f t="shared" ref="B181:F181" si="83">(((((((((((((((((B145)+(B146))+(B149))+(B151))+(B158))+(B159))+(B160))+(B165))+(B166))+(B167))+(B171))+(B172))+(B176))+(B177))+(B178))+(B179)))</f>
        <v>124784.90999999999</v>
      </c>
      <c r="C181" s="218">
        <f t="shared" si="83"/>
        <v>124670.08</v>
      </c>
      <c r="D181" s="218">
        <f t="shared" si="83"/>
        <v>120834.76999999999</v>
      </c>
      <c r="E181" s="218">
        <f t="shared" si="83"/>
        <v>101234.10999999999</v>
      </c>
      <c r="F181" s="218">
        <f t="shared" si="83"/>
        <v>91904.97</v>
      </c>
      <c r="G181" s="218">
        <f>G149+G160+SUM(G165:G172)+SUM(G176:G180)</f>
        <v>63387.46</v>
      </c>
      <c r="H181" s="218">
        <f t="shared" ref="H181:I181" si="84">(((((((((((((((((H145)+(H146))+(H149))+(H151))+(H158))+(H159))+(H160))+(H165))+(H166))+(H167))+(H171))+(H172))+(H176))+(H177))+(H178))+(H179)))</f>
        <v>51622.12000000001</v>
      </c>
      <c r="I181" s="218">
        <f t="shared" si="84"/>
        <v>55821.16363636365</v>
      </c>
      <c r="J181" s="220">
        <f>'FY21 w YOY comp'!K201</f>
        <v>89095.239999999991</v>
      </c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  <c r="X181" s="224"/>
      <c r="Y181" s="224"/>
      <c r="Z181" s="224"/>
      <c r="AA181" s="224"/>
    </row>
    <row r="182" spans="1:27" ht="15.75" customHeight="1" x14ac:dyDescent="0.25">
      <c r="A182" s="20"/>
      <c r="B182" s="21"/>
      <c r="C182" s="21"/>
      <c r="D182" s="21"/>
      <c r="E182" s="47"/>
      <c r="F182" s="22"/>
      <c r="G182" s="22"/>
      <c r="H182" s="21"/>
      <c r="I182" s="22"/>
      <c r="J182" s="24">
        <f>'FY21 w YOY comp'!K202</f>
        <v>0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5">
      <c r="A183" s="122" t="s">
        <v>324</v>
      </c>
      <c r="B183" s="125"/>
      <c r="C183" s="125"/>
      <c r="D183" s="125"/>
      <c r="E183" s="123">
        <f>99.18</f>
        <v>99.18</v>
      </c>
      <c r="F183" s="124"/>
      <c r="G183" s="124"/>
      <c r="H183" s="125"/>
      <c r="I183" s="124"/>
      <c r="J183" s="127">
        <f>'FY21 w YOY comp'!K203</f>
        <v>0</v>
      </c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  <c r="AA183" s="131"/>
    </row>
    <row r="184" spans="1:27" ht="15.75" customHeight="1" x14ac:dyDescent="0.25">
      <c r="A184" s="122" t="s">
        <v>325</v>
      </c>
      <c r="B184" s="125"/>
      <c r="C184" s="125"/>
      <c r="D184" s="125"/>
      <c r="E184" s="125"/>
      <c r="F184" s="123">
        <f>194.18</f>
        <v>194.18</v>
      </c>
      <c r="G184" s="124">
        <f>417.29</f>
        <v>417.29</v>
      </c>
      <c r="H184" s="123">
        <f>194.18</f>
        <v>194.18</v>
      </c>
      <c r="I184" s="124">
        <f>H184</f>
        <v>194.18</v>
      </c>
      <c r="J184" s="127">
        <f>'FY21 w YOY comp'!K204</f>
        <v>200</v>
      </c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</row>
    <row r="185" spans="1:27" ht="15.75" customHeight="1" x14ac:dyDescent="0.25">
      <c r="A185" s="122" t="s">
        <v>327</v>
      </c>
      <c r="B185" s="123">
        <f>23328.56</f>
        <v>23328.560000000001</v>
      </c>
      <c r="C185" s="123">
        <f>23573.45</f>
        <v>23573.45</v>
      </c>
      <c r="D185" s="123">
        <f>27332.06</f>
        <v>27332.06</v>
      </c>
      <c r="E185" s="123">
        <f>25224.21</f>
        <v>25224.21</v>
      </c>
      <c r="F185" s="123">
        <f>25226.86</f>
        <v>25226.86</v>
      </c>
      <c r="G185" s="124">
        <f>26260</f>
        <v>26260</v>
      </c>
      <c r="H185" s="123">
        <f>22174.95</f>
        <v>22174.95</v>
      </c>
      <c r="I185" s="124">
        <f>(H185/11)*12</f>
        <v>24190.854545454546</v>
      </c>
      <c r="J185" s="127">
        <f>'FY21 w YOY comp'!K205</f>
        <v>26190.416013333335</v>
      </c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  <c r="AA185" s="131"/>
    </row>
    <row r="186" spans="1:27" ht="15.75" hidden="1" customHeight="1" x14ac:dyDescent="0.25">
      <c r="A186" s="46" t="s">
        <v>535</v>
      </c>
      <c r="B186" s="47">
        <f>4382.43</f>
        <v>4382.43</v>
      </c>
      <c r="C186" s="47">
        <f>3924.99</f>
        <v>3924.99</v>
      </c>
      <c r="D186" s="47">
        <f>6460.56</f>
        <v>6460.56</v>
      </c>
      <c r="E186" s="47">
        <f>5960</f>
        <v>5960</v>
      </c>
      <c r="F186" s="47">
        <f>570</f>
        <v>570</v>
      </c>
      <c r="G186" s="22"/>
      <c r="H186" s="21"/>
      <c r="I186" s="22"/>
      <c r="J186" s="24">
        <f>'FY21 w YOY comp'!K207</f>
        <v>0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hidden="1" customHeight="1" x14ac:dyDescent="0.25">
      <c r="A187" s="46" t="s">
        <v>331</v>
      </c>
      <c r="B187" s="21"/>
      <c r="C187" s="21"/>
      <c r="D187" s="21"/>
      <c r="E187" s="21"/>
      <c r="F187" s="47">
        <f>2023.78</f>
        <v>2023.78</v>
      </c>
      <c r="G187" s="22">
        <f>4201.6</f>
        <v>4201.6000000000004</v>
      </c>
      <c r="H187" s="47">
        <f>4684.5</f>
        <v>4684.5</v>
      </c>
      <c r="I187" s="22">
        <f t="shared" ref="I187:I189" si="85">(H187/11)*12</f>
        <v>5110.363636363636</v>
      </c>
      <c r="J187" s="24">
        <f>'FY21 w YOY comp'!K208</f>
        <v>5238.0832026666676</v>
      </c>
      <c r="K187" s="1" t="s">
        <v>332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hidden="1" customHeight="1" x14ac:dyDescent="0.25">
      <c r="A188" s="46" t="s">
        <v>333</v>
      </c>
      <c r="B188" s="21"/>
      <c r="C188" s="21"/>
      <c r="D188" s="21"/>
      <c r="E188" s="21"/>
      <c r="F188" s="47">
        <f>235.55</f>
        <v>235.55</v>
      </c>
      <c r="G188" s="22">
        <f>850</f>
        <v>850</v>
      </c>
      <c r="H188" s="47">
        <f>412.1</f>
        <v>412.1</v>
      </c>
      <c r="I188" s="22">
        <f t="shared" si="85"/>
        <v>449.56363636363642</v>
      </c>
      <c r="J188" s="24">
        <f>'FY21 w YOY comp'!K209</f>
        <v>600</v>
      </c>
      <c r="K188" s="1" t="s">
        <v>334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hidden="1" customHeight="1" x14ac:dyDescent="0.25">
      <c r="A189" s="46" t="s">
        <v>335</v>
      </c>
      <c r="B189" s="21"/>
      <c r="C189" s="21"/>
      <c r="D189" s="21"/>
      <c r="E189" s="21"/>
      <c r="F189" s="47">
        <f>120</f>
        <v>120</v>
      </c>
      <c r="G189" s="22"/>
      <c r="H189" s="47">
        <v>3507</v>
      </c>
      <c r="I189" s="22">
        <f t="shared" si="85"/>
        <v>3825.818181818182</v>
      </c>
      <c r="J189" s="24">
        <f>'FY21 w YOY comp'!K210</f>
        <v>0</v>
      </c>
      <c r="K189" s="1" t="s">
        <v>336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5">
      <c r="A190" s="122" t="s">
        <v>337</v>
      </c>
      <c r="B190" s="178">
        <f t="shared" ref="B190:F190" si="86">SUM(B186:B189)</f>
        <v>4382.43</v>
      </c>
      <c r="C190" s="178">
        <f t="shared" si="86"/>
        <v>3924.99</v>
      </c>
      <c r="D190" s="178">
        <f t="shared" si="86"/>
        <v>6460.56</v>
      </c>
      <c r="E190" s="178">
        <f t="shared" si="86"/>
        <v>5960</v>
      </c>
      <c r="F190" s="178">
        <f t="shared" si="86"/>
        <v>2949.33</v>
      </c>
      <c r="G190" s="178">
        <f>SUM(G187:G189)</f>
        <v>5051.6000000000004</v>
      </c>
      <c r="H190" s="178">
        <f t="shared" ref="H190:I190" si="87">SUM(H186:H189)</f>
        <v>8603.6</v>
      </c>
      <c r="I190" s="178">
        <f t="shared" si="87"/>
        <v>9385.7454545454548</v>
      </c>
      <c r="J190" s="180">
        <f>'FY21 w YOY comp'!K211</f>
        <v>5838.0832026666676</v>
      </c>
      <c r="K190" s="131" t="s">
        <v>536</v>
      </c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</row>
    <row r="191" spans="1:27" ht="15.75" customHeight="1" x14ac:dyDescent="0.25">
      <c r="A191" s="122" t="s">
        <v>338</v>
      </c>
      <c r="B191" s="125"/>
      <c r="C191" s="125"/>
      <c r="D191" s="125"/>
      <c r="E191" s="123">
        <f>3115</f>
        <v>3115</v>
      </c>
      <c r="F191" s="123">
        <f>2865.64</f>
        <v>2865.64</v>
      </c>
      <c r="G191" s="124">
        <f>2626</f>
        <v>2626</v>
      </c>
      <c r="H191" s="123">
        <f>2407.13</f>
        <v>2407.13</v>
      </c>
      <c r="I191" s="124">
        <f>(H191/11)*12</f>
        <v>2625.96</v>
      </c>
      <c r="J191" s="127">
        <f>'FY21 w YOY comp'!K212</f>
        <v>2500</v>
      </c>
      <c r="K191" s="274" t="s">
        <v>339</v>
      </c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  <c r="AA191" s="131"/>
    </row>
    <row r="192" spans="1:27" ht="15.75" customHeight="1" x14ac:dyDescent="0.25">
      <c r="A192" s="217" t="s">
        <v>340</v>
      </c>
      <c r="B192" s="218">
        <f t="shared" ref="B192:F192" si="88">SUM(B183:B185)+SUM(B190:B191)</f>
        <v>27710.99</v>
      </c>
      <c r="C192" s="218">
        <f t="shared" si="88"/>
        <v>27498.440000000002</v>
      </c>
      <c r="D192" s="218">
        <f t="shared" si="88"/>
        <v>33792.620000000003</v>
      </c>
      <c r="E192" s="218">
        <f t="shared" si="88"/>
        <v>34398.39</v>
      </c>
      <c r="F192" s="218">
        <f t="shared" si="88"/>
        <v>31236.010000000002</v>
      </c>
      <c r="G192" s="218">
        <f>SUM(G184:G185)+G190+G191</f>
        <v>34354.89</v>
      </c>
      <c r="H192" s="218">
        <f t="shared" ref="H192:I192" si="89">SUM(H183:H185)+SUM(H190:H191)</f>
        <v>33379.86</v>
      </c>
      <c r="I192" s="218">
        <f t="shared" si="89"/>
        <v>36396.740000000005</v>
      </c>
      <c r="J192" s="220">
        <f>'FY21 w YOY comp'!K213</f>
        <v>34728.499216000004</v>
      </c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4"/>
      <c r="W192" s="224"/>
      <c r="X192" s="224"/>
      <c r="Y192" s="224"/>
      <c r="Z192" s="224"/>
      <c r="AA192" s="224"/>
    </row>
    <row r="193" spans="1:27" ht="15.75" customHeight="1" x14ac:dyDescent="0.25">
      <c r="A193" s="20"/>
      <c r="B193" s="47"/>
      <c r="C193" s="47"/>
      <c r="D193" s="21"/>
      <c r="E193" s="21"/>
      <c r="F193" s="22"/>
      <c r="G193" s="22"/>
      <c r="H193" s="21"/>
      <c r="I193" s="22"/>
      <c r="J193" s="24">
        <f>'FY21 w YOY comp'!K214</f>
        <v>0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5">
      <c r="A194" s="122" t="s">
        <v>341</v>
      </c>
      <c r="B194" s="123">
        <f>431.03</f>
        <v>431.03</v>
      </c>
      <c r="C194" s="123">
        <f>75.8</f>
        <v>75.8</v>
      </c>
      <c r="D194" s="125"/>
      <c r="E194" s="125"/>
      <c r="F194" s="124"/>
      <c r="G194" s="124"/>
      <c r="H194" s="125"/>
      <c r="I194" s="124"/>
      <c r="J194" s="127">
        <f>'FY21 w YOY comp'!K215</f>
        <v>0</v>
      </c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  <c r="AA194" s="131"/>
    </row>
    <row r="195" spans="1:27" ht="15.75" customHeight="1" x14ac:dyDescent="0.25">
      <c r="A195" s="122" t="s">
        <v>342</v>
      </c>
      <c r="B195" s="123">
        <f>233.2</f>
        <v>233.2</v>
      </c>
      <c r="C195" s="123">
        <f>230.39</f>
        <v>230.39</v>
      </c>
      <c r="D195" s="123">
        <f>543.68</f>
        <v>543.67999999999995</v>
      </c>
      <c r="E195" s="123">
        <f>727.67</f>
        <v>727.67</v>
      </c>
      <c r="F195" s="123">
        <f>349.01</f>
        <v>349.01</v>
      </c>
      <c r="G195" s="124">
        <f>200</f>
        <v>200</v>
      </c>
      <c r="H195" s="123">
        <f>441.2</f>
        <v>441.2</v>
      </c>
      <c r="I195" s="124">
        <f>(H195/11)*12</f>
        <v>481.30909090909091</v>
      </c>
      <c r="J195" s="127">
        <f>'FY21 w YOY comp'!K216</f>
        <v>500</v>
      </c>
      <c r="K195" s="131" t="s">
        <v>344</v>
      </c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</row>
    <row r="196" spans="1:27" ht="15.75" customHeight="1" x14ac:dyDescent="0.25">
      <c r="A196" s="122" t="s">
        <v>345</v>
      </c>
      <c r="B196" s="123">
        <f>434.46</f>
        <v>434.46</v>
      </c>
      <c r="C196" s="123">
        <f>563.26</f>
        <v>563.26</v>
      </c>
      <c r="D196" s="123">
        <f>695.7</f>
        <v>695.7</v>
      </c>
      <c r="E196" s="123">
        <f>771.88</f>
        <v>771.88</v>
      </c>
      <c r="F196" s="123">
        <f>550</f>
        <v>550</v>
      </c>
      <c r="G196" s="124">
        <f>350</f>
        <v>350</v>
      </c>
      <c r="H196" s="123"/>
      <c r="I196" s="124"/>
      <c r="J196" s="127">
        <f>'FY21 w YOY comp'!K217</f>
        <v>475</v>
      </c>
      <c r="K196" s="131" t="s">
        <v>537</v>
      </c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</row>
    <row r="197" spans="1:27" ht="15.75" customHeight="1" x14ac:dyDescent="0.25">
      <c r="A197" s="122" t="s">
        <v>348</v>
      </c>
      <c r="B197" s="123">
        <f>258.85</f>
        <v>258.85000000000002</v>
      </c>
      <c r="C197" s="123">
        <f>29.67</f>
        <v>29.67</v>
      </c>
      <c r="D197" s="123">
        <f>53.94</f>
        <v>53.94</v>
      </c>
      <c r="E197" s="123">
        <f>56.55</f>
        <v>56.55</v>
      </c>
      <c r="F197" s="123">
        <f>580.93</f>
        <v>580.92999999999995</v>
      </c>
      <c r="G197" s="124">
        <f>50</f>
        <v>50</v>
      </c>
      <c r="H197" s="123">
        <f>601.11</f>
        <v>601.11</v>
      </c>
      <c r="I197" s="124">
        <f>(H197/11)*12</f>
        <v>655.75636363636363</v>
      </c>
      <c r="J197" s="127">
        <f>'FY21 w YOY comp'!K218</f>
        <v>350</v>
      </c>
      <c r="K197" s="131" t="s">
        <v>349</v>
      </c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  <c r="AA197" s="131"/>
    </row>
    <row r="198" spans="1:27" ht="15.75" customHeight="1" x14ac:dyDescent="0.25">
      <c r="A198" s="122" t="s">
        <v>350</v>
      </c>
      <c r="B198" s="125"/>
      <c r="C198" s="123">
        <f>57.31</f>
        <v>57.31</v>
      </c>
      <c r="D198" s="125"/>
      <c r="E198" s="125"/>
      <c r="F198" s="124"/>
      <c r="G198" s="124"/>
      <c r="H198" s="125"/>
      <c r="I198" s="124"/>
      <c r="J198" s="127">
        <f>'FY21 w YOY comp'!K219</f>
        <v>0</v>
      </c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  <c r="AA198" s="131"/>
    </row>
    <row r="199" spans="1:27" ht="15.75" customHeight="1" x14ac:dyDescent="0.25">
      <c r="A199" s="122" t="s">
        <v>351</v>
      </c>
      <c r="B199" s="125"/>
      <c r="C199" s="125"/>
      <c r="D199" s="125"/>
      <c r="E199" s="123">
        <f t="shared" ref="E199:F199" si="90">2017.01</f>
        <v>2017.01</v>
      </c>
      <c r="F199" s="123">
        <f t="shared" si="90"/>
        <v>2017.01</v>
      </c>
      <c r="G199" s="124"/>
      <c r="H199" s="125"/>
      <c r="I199" s="124"/>
      <c r="J199" s="127">
        <f>'FY21 w YOY comp'!K220</f>
        <v>0</v>
      </c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</row>
    <row r="200" spans="1:27" ht="15.75" customHeight="1" x14ac:dyDescent="0.25">
      <c r="A200" s="217" t="s">
        <v>352</v>
      </c>
      <c r="B200" s="218">
        <f t="shared" ref="B200:F200" si="91">SUM(B194:B199)</f>
        <v>1357.54</v>
      </c>
      <c r="C200" s="218">
        <f t="shared" si="91"/>
        <v>956.43000000000006</v>
      </c>
      <c r="D200" s="218">
        <f t="shared" si="91"/>
        <v>1293.3200000000002</v>
      </c>
      <c r="E200" s="218">
        <f t="shared" si="91"/>
        <v>3573.1099999999997</v>
      </c>
      <c r="F200" s="218">
        <f t="shared" si="91"/>
        <v>3496.95</v>
      </c>
      <c r="G200" s="218">
        <f>SUM(G195:G199)</f>
        <v>600</v>
      </c>
      <c r="H200" s="218">
        <f t="shared" ref="H200:I200" si="92">SUM(H194:H199)</f>
        <v>1042.31</v>
      </c>
      <c r="I200" s="218">
        <f t="shared" si="92"/>
        <v>1137.0654545454545</v>
      </c>
      <c r="J200" s="220">
        <f>'FY21 w YOY comp'!K221</f>
        <v>1325</v>
      </c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4"/>
      <c r="W200" s="224"/>
      <c r="X200" s="224"/>
      <c r="Y200" s="224"/>
      <c r="Z200" s="224"/>
      <c r="AA200" s="224"/>
    </row>
    <row r="201" spans="1:27" ht="15.75" customHeight="1" x14ac:dyDescent="0.25">
      <c r="A201" s="20"/>
      <c r="B201" s="21"/>
      <c r="C201" s="21"/>
      <c r="D201" s="21"/>
      <c r="E201" s="21"/>
      <c r="F201" s="22"/>
      <c r="G201" s="22"/>
      <c r="H201" s="21"/>
      <c r="I201" s="22"/>
      <c r="J201" s="24">
        <f>'FY21 w YOY comp'!K222</f>
        <v>0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5">
      <c r="A202" s="122" t="s">
        <v>353</v>
      </c>
      <c r="B202" s="125"/>
      <c r="C202" s="125"/>
      <c r="D202" s="125"/>
      <c r="E202" s="125"/>
      <c r="F202" s="124"/>
      <c r="G202" s="124"/>
      <c r="H202" s="125"/>
      <c r="I202" s="124"/>
      <c r="J202" s="127">
        <f>'FY21 w YOY comp'!K223</f>
        <v>0</v>
      </c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  <c r="AA202" s="131"/>
    </row>
    <row r="203" spans="1:27" ht="15.75" customHeight="1" x14ac:dyDescent="0.25">
      <c r="A203" s="122" t="s">
        <v>354</v>
      </c>
      <c r="B203" s="125"/>
      <c r="C203" s="125"/>
      <c r="D203" s="125"/>
      <c r="E203" s="125"/>
      <c r="F203" s="124"/>
      <c r="G203" s="124">
        <f>200</f>
        <v>200</v>
      </c>
      <c r="H203" s="125"/>
      <c r="I203" s="124"/>
      <c r="J203" s="127">
        <f>'FY21 w YOY comp'!K224</f>
        <v>500</v>
      </c>
      <c r="K203" s="131" t="s">
        <v>538</v>
      </c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  <c r="AA203" s="131"/>
    </row>
    <row r="204" spans="1:27" ht="15.75" hidden="1" customHeight="1" x14ac:dyDescent="0.25">
      <c r="A204" s="46" t="s">
        <v>357</v>
      </c>
      <c r="B204" s="21"/>
      <c r="C204" s="21"/>
      <c r="D204" s="21"/>
      <c r="E204" s="21"/>
      <c r="F204" s="22"/>
      <c r="G204" s="22"/>
      <c r="H204" s="21"/>
      <c r="I204" s="22"/>
      <c r="J204" s="24">
        <f>'FY21 w YOY comp'!K226</f>
        <v>0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hidden="1" customHeight="1" x14ac:dyDescent="0.25">
      <c r="A205" s="46" t="s">
        <v>358</v>
      </c>
      <c r="B205" s="47">
        <f>492</f>
        <v>492</v>
      </c>
      <c r="C205" s="47">
        <f t="shared" ref="C205:D205" si="93">509</f>
        <v>509</v>
      </c>
      <c r="D205" s="47">
        <f t="shared" si="93"/>
        <v>509</v>
      </c>
      <c r="E205" s="47">
        <f t="shared" ref="E205:G205" si="94">520</f>
        <v>520</v>
      </c>
      <c r="F205" s="47">
        <f t="shared" si="94"/>
        <v>520</v>
      </c>
      <c r="G205" s="55">
        <f t="shared" si="94"/>
        <v>520</v>
      </c>
      <c r="H205" s="21">
        <v>0</v>
      </c>
      <c r="I205" s="22">
        <f>541</f>
        <v>541</v>
      </c>
      <c r="J205" s="73">
        <f>'FY21 w YOY comp'!K227</f>
        <v>541</v>
      </c>
      <c r="K205" s="1" t="s">
        <v>539</v>
      </c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hidden="1" customHeight="1" x14ac:dyDescent="0.25">
      <c r="A206" s="46" t="s">
        <v>360</v>
      </c>
      <c r="B206" s="21"/>
      <c r="C206" s="21"/>
      <c r="D206" s="21"/>
      <c r="E206" s="47">
        <f t="shared" ref="E206:H206" si="95">250</f>
        <v>250</v>
      </c>
      <c r="F206" s="47">
        <f t="shared" si="95"/>
        <v>250</v>
      </c>
      <c r="G206" s="55">
        <f t="shared" si="95"/>
        <v>250</v>
      </c>
      <c r="H206" s="47">
        <f t="shared" si="95"/>
        <v>250</v>
      </c>
      <c r="I206" s="22">
        <f t="shared" ref="I206:I207" si="96">H206</f>
        <v>250</v>
      </c>
      <c r="J206" s="73">
        <f>'FY21 w YOY comp'!K228</f>
        <v>250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hidden="1" customHeight="1" x14ac:dyDescent="0.25">
      <c r="A207" s="46" t="s">
        <v>361</v>
      </c>
      <c r="B207" s="21"/>
      <c r="C207" s="21"/>
      <c r="D207" s="21"/>
      <c r="E207" s="21"/>
      <c r="F207" s="47">
        <f>69</f>
        <v>69</v>
      </c>
      <c r="G207" s="55">
        <f>65</f>
        <v>65</v>
      </c>
      <c r="H207" s="47">
        <f>69</f>
        <v>69</v>
      </c>
      <c r="I207" s="22">
        <f t="shared" si="96"/>
        <v>69</v>
      </c>
      <c r="J207" s="73">
        <f>'FY21 w YOY comp'!K229</f>
        <v>73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5">
      <c r="A208" s="122" t="s">
        <v>363</v>
      </c>
      <c r="B208" s="178">
        <f t="shared" ref="B208:F208" si="97">SUM(B204:B207)</f>
        <v>492</v>
      </c>
      <c r="C208" s="178">
        <f t="shared" si="97"/>
        <v>509</v>
      </c>
      <c r="D208" s="178">
        <f t="shared" si="97"/>
        <v>509</v>
      </c>
      <c r="E208" s="178">
        <f t="shared" si="97"/>
        <v>770</v>
      </c>
      <c r="F208" s="178">
        <f t="shared" si="97"/>
        <v>839</v>
      </c>
      <c r="G208" s="178">
        <f>SUM(G205:G207)</f>
        <v>835</v>
      </c>
      <c r="H208" s="178">
        <f t="shared" ref="H208:I208" si="98">SUM(H204:H207)</f>
        <v>319</v>
      </c>
      <c r="I208" s="178">
        <f t="shared" si="98"/>
        <v>860</v>
      </c>
      <c r="J208" s="180">
        <f>'FY21 w YOY comp'!K230</f>
        <v>864</v>
      </c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  <c r="AA208" s="131"/>
    </row>
    <row r="209" spans="1:27" ht="15.75" hidden="1" customHeight="1" x14ac:dyDescent="0.25">
      <c r="A209" s="46" t="s">
        <v>364</v>
      </c>
      <c r="B209" s="21"/>
      <c r="C209" s="21"/>
      <c r="D209" s="21"/>
      <c r="E209" s="21"/>
      <c r="F209" s="22"/>
      <c r="G209" s="22"/>
      <c r="H209" s="21"/>
      <c r="I209" s="22"/>
      <c r="J209" s="24">
        <f>'FY21 w YOY comp'!K231</f>
        <v>0</v>
      </c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hidden="1" customHeight="1" x14ac:dyDescent="0.25">
      <c r="A210" s="46" t="s">
        <v>365</v>
      </c>
      <c r="B210" s="21"/>
      <c r="C210" s="21"/>
      <c r="D210" s="21"/>
      <c r="E210" s="47"/>
      <c r="F210" s="47"/>
      <c r="G210" s="22">
        <f>1000</f>
        <v>1000</v>
      </c>
      <c r="H210" s="47"/>
      <c r="I210" s="22"/>
      <c r="J210" s="24">
        <f>'FY21 w YOY comp'!K232</f>
        <v>0</v>
      </c>
      <c r="K210" s="1">
        <f>3239+200</f>
        <v>3439</v>
      </c>
      <c r="L210" s="1" t="s">
        <v>366</v>
      </c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hidden="1" customHeight="1" x14ac:dyDescent="0.25">
      <c r="A211" s="46" t="s">
        <v>367</v>
      </c>
      <c r="B211" s="21"/>
      <c r="C211" s="21"/>
      <c r="D211" s="21"/>
      <c r="E211" s="47">
        <f>19.81</f>
        <v>19.809999999999999</v>
      </c>
      <c r="F211" s="47">
        <f>319.8</f>
        <v>319.8</v>
      </c>
      <c r="G211" s="22">
        <f t="shared" ref="G211:G214" si="99">500</f>
        <v>500</v>
      </c>
      <c r="H211" s="47">
        <f>299.99</f>
        <v>299.99</v>
      </c>
      <c r="I211" s="22">
        <f>H211</f>
        <v>299.99</v>
      </c>
      <c r="J211" s="24">
        <f>'FY21 w YOY comp'!K233</f>
        <v>1512.63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hidden="1" customHeight="1" x14ac:dyDescent="0.25">
      <c r="A212" s="46" t="s">
        <v>370</v>
      </c>
      <c r="B212" s="21"/>
      <c r="C212" s="21"/>
      <c r="D212" s="21"/>
      <c r="E212" s="47"/>
      <c r="F212" s="47"/>
      <c r="G212" s="22">
        <f t="shared" si="99"/>
        <v>500</v>
      </c>
      <c r="H212" s="47"/>
      <c r="I212" s="22"/>
      <c r="J212" s="24">
        <f>'FY21 w YOY comp'!K234</f>
        <v>1512.63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hidden="1" customHeight="1" x14ac:dyDescent="0.25">
      <c r="A213" s="46" t="s">
        <v>371</v>
      </c>
      <c r="B213" s="21"/>
      <c r="C213" s="21"/>
      <c r="D213" s="21"/>
      <c r="E213" s="47"/>
      <c r="F213" s="47"/>
      <c r="G213" s="22">
        <f t="shared" si="99"/>
        <v>500</v>
      </c>
      <c r="H213" s="47"/>
      <c r="I213" s="22"/>
      <c r="J213" s="24">
        <f>'FY21 w YOY comp'!K235</f>
        <v>1512.63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hidden="1" customHeight="1" x14ac:dyDescent="0.25">
      <c r="A214" s="46" t="s">
        <v>372</v>
      </c>
      <c r="B214" s="21"/>
      <c r="C214" s="21"/>
      <c r="D214" s="21"/>
      <c r="E214" s="47"/>
      <c r="F214" s="47"/>
      <c r="G214" s="22">
        <f t="shared" si="99"/>
        <v>500</v>
      </c>
      <c r="H214" s="47"/>
      <c r="I214" s="22"/>
      <c r="J214" s="24">
        <f>'FY21 w YOY comp'!K236</f>
        <v>1512.63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5">
      <c r="A215" s="122" t="s">
        <v>373</v>
      </c>
      <c r="B215" s="178">
        <f t="shared" ref="B215:F215" si="100">SUM(B209:B211)</f>
        <v>0</v>
      </c>
      <c r="C215" s="178">
        <f t="shared" si="100"/>
        <v>0</v>
      </c>
      <c r="D215" s="178">
        <f t="shared" si="100"/>
        <v>0</v>
      </c>
      <c r="E215" s="178">
        <f t="shared" si="100"/>
        <v>19.809999999999999</v>
      </c>
      <c r="F215" s="178">
        <f t="shared" si="100"/>
        <v>319.8</v>
      </c>
      <c r="G215" s="178">
        <f>SUM(G210:G214)</f>
        <v>3000</v>
      </c>
      <c r="H215" s="178">
        <f t="shared" ref="H215:I215" si="101">SUM(H209:H211)</f>
        <v>299.99</v>
      </c>
      <c r="I215" s="178">
        <f t="shared" si="101"/>
        <v>299.99</v>
      </c>
      <c r="J215" s="180">
        <f>'FY21 w YOY comp'!K237</f>
        <v>6050.52</v>
      </c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  <c r="AA215" s="131"/>
    </row>
    <row r="216" spans="1:27" ht="15.75" customHeight="1" x14ac:dyDescent="0.25">
      <c r="A216" s="122" t="s">
        <v>374</v>
      </c>
      <c r="B216" s="125"/>
      <c r="C216" s="125"/>
      <c r="D216" s="125"/>
      <c r="E216" s="125"/>
      <c r="F216" s="124"/>
      <c r="G216" s="124"/>
      <c r="H216" s="125"/>
      <c r="I216" s="124"/>
      <c r="J216" s="127">
        <f>'FY21 w YOY comp'!K238</f>
        <v>0</v>
      </c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  <c r="AA216" s="131"/>
    </row>
    <row r="217" spans="1:27" ht="15.75" customHeight="1" x14ac:dyDescent="0.25">
      <c r="A217" s="217" t="s">
        <v>375</v>
      </c>
      <c r="B217" s="218">
        <f t="shared" ref="B217:F217" si="102">SUM(B202:B203)+B208+SUM(B215:B216)</f>
        <v>492</v>
      </c>
      <c r="C217" s="218">
        <f t="shared" si="102"/>
        <v>509</v>
      </c>
      <c r="D217" s="218">
        <f t="shared" si="102"/>
        <v>509</v>
      </c>
      <c r="E217" s="218">
        <f t="shared" si="102"/>
        <v>789.81</v>
      </c>
      <c r="F217" s="218">
        <f t="shared" si="102"/>
        <v>1158.8</v>
      </c>
      <c r="G217" s="218">
        <f>G203+G208+G215</f>
        <v>4035</v>
      </c>
      <c r="H217" s="218">
        <f t="shared" ref="H217:I217" si="103">SUM(H202:H203)+H208+SUM(H215:H216)</f>
        <v>618.99</v>
      </c>
      <c r="I217" s="218">
        <f t="shared" si="103"/>
        <v>1159.99</v>
      </c>
      <c r="J217" s="220">
        <f>'FY21 w YOY comp'!K239</f>
        <v>7414.52</v>
      </c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4"/>
      <c r="X217" s="224"/>
      <c r="Y217" s="224"/>
      <c r="Z217" s="224"/>
      <c r="AA217" s="224"/>
    </row>
    <row r="218" spans="1:27" ht="15.75" customHeight="1" x14ac:dyDescent="0.25">
      <c r="A218" s="20"/>
      <c r="B218" s="47"/>
      <c r="C218" s="21"/>
      <c r="D218" s="21"/>
      <c r="E218" s="21"/>
      <c r="F218" s="22"/>
      <c r="G218" s="22"/>
      <c r="H218" s="21"/>
      <c r="I218" s="22"/>
      <c r="J218" s="24">
        <f>'FY21 w YOY comp'!K240</f>
        <v>0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5">
      <c r="A219" s="122" t="s">
        <v>376</v>
      </c>
      <c r="B219" s="123">
        <f>29</f>
        <v>29</v>
      </c>
      <c r="C219" s="125"/>
      <c r="D219" s="125"/>
      <c r="E219" s="125"/>
      <c r="F219" s="124"/>
      <c r="G219" s="124"/>
      <c r="H219" s="125"/>
      <c r="I219" s="124"/>
      <c r="J219" s="127">
        <f>'FY21 w YOY comp'!K241</f>
        <v>0</v>
      </c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</row>
    <row r="220" spans="1:27" ht="15.75" customHeight="1" x14ac:dyDescent="0.25">
      <c r="A220" s="122" t="s">
        <v>377</v>
      </c>
      <c r="B220" s="125"/>
      <c r="C220" s="125"/>
      <c r="D220" s="125"/>
      <c r="E220" s="125"/>
      <c r="F220" s="124"/>
      <c r="G220" s="124"/>
      <c r="H220" s="125"/>
      <c r="I220" s="124"/>
      <c r="J220" s="127">
        <f>'FY21 w YOY comp'!K242</f>
        <v>0</v>
      </c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  <c r="AA220" s="131"/>
    </row>
    <row r="221" spans="1:27" ht="15.75" customHeight="1" x14ac:dyDescent="0.25">
      <c r="A221" s="122" t="s">
        <v>378</v>
      </c>
      <c r="B221" s="123">
        <f>43.74</f>
        <v>43.74</v>
      </c>
      <c r="C221" s="123">
        <f>155.88</f>
        <v>155.88</v>
      </c>
      <c r="D221" s="123">
        <f>50</f>
        <v>50</v>
      </c>
      <c r="E221" s="123">
        <f>53.19</f>
        <v>53.19</v>
      </c>
      <c r="F221" s="123">
        <f t="shared" ref="F221:H221" si="104">100</f>
        <v>100</v>
      </c>
      <c r="G221" s="124">
        <f t="shared" si="104"/>
        <v>100</v>
      </c>
      <c r="H221" s="123">
        <f t="shared" si="104"/>
        <v>100</v>
      </c>
      <c r="I221" s="124">
        <f t="shared" ref="I221:I222" si="105">(H221/11)*12</f>
        <v>109.09090909090909</v>
      </c>
      <c r="J221" s="127">
        <f>'FY21 w YOY comp'!K243</f>
        <v>300</v>
      </c>
      <c r="K221" s="131" t="s">
        <v>380</v>
      </c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  <c r="AA221" s="131"/>
    </row>
    <row r="222" spans="1:27" ht="15.75" hidden="1" customHeight="1" x14ac:dyDescent="0.25">
      <c r="A222" s="46" t="s">
        <v>381</v>
      </c>
      <c r="B222" s="47">
        <f>392.23</f>
        <v>392.23</v>
      </c>
      <c r="C222" s="47">
        <f>610.17</f>
        <v>610.16999999999996</v>
      </c>
      <c r="D222" s="47">
        <f>759.66</f>
        <v>759.66</v>
      </c>
      <c r="E222" s="47">
        <f>3831.51</f>
        <v>3831.51</v>
      </c>
      <c r="F222" s="47">
        <f>244.48</f>
        <v>244.48</v>
      </c>
      <c r="G222" s="22"/>
      <c r="H222" s="21">
        <f>135.8</f>
        <v>135.80000000000001</v>
      </c>
      <c r="I222" s="22">
        <f t="shared" si="105"/>
        <v>148.14545454545456</v>
      </c>
      <c r="J222" s="24">
        <f>'FY21 w YOY comp'!K244</f>
        <v>0</v>
      </c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hidden="1" customHeight="1" x14ac:dyDescent="0.25">
      <c r="A223" s="46" t="s">
        <v>382</v>
      </c>
      <c r="B223" s="21"/>
      <c r="C223" s="21"/>
      <c r="D223" s="21"/>
      <c r="E223" s="21"/>
      <c r="F223" s="47"/>
      <c r="G223" s="22">
        <f>500</f>
        <v>500</v>
      </c>
      <c r="H223" s="47"/>
      <c r="I223" s="22"/>
      <c r="J223" s="24">
        <f>'FY21 w YOY comp'!K245</f>
        <v>0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hidden="1" customHeight="1" x14ac:dyDescent="0.25">
      <c r="A224" s="46" t="s">
        <v>383</v>
      </c>
      <c r="B224" s="21"/>
      <c r="C224" s="21"/>
      <c r="D224" s="21"/>
      <c r="E224" s="21"/>
      <c r="F224" s="47"/>
      <c r="G224" s="22">
        <f>600</f>
        <v>600</v>
      </c>
      <c r="H224" s="47"/>
      <c r="I224" s="22"/>
      <c r="J224" s="24">
        <f>'FY21 w YOY comp'!K246</f>
        <v>500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hidden="1" customHeight="1" x14ac:dyDescent="0.25">
      <c r="A225" s="46" t="s">
        <v>385</v>
      </c>
      <c r="B225" s="21"/>
      <c r="C225" s="21"/>
      <c r="D225" s="21"/>
      <c r="E225" s="21"/>
      <c r="F225" s="47"/>
      <c r="G225" s="22">
        <f>500</f>
        <v>500</v>
      </c>
      <c r="H225" s="47"/>
      <c r="I225" s="22"/>
      <c r="J225" s="24">
        <f>'FY21 w YOY comp'!K247</f>
        <v>500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hidden="1" customHeight="1" x14ac:dyDescent="0.25">
      <c r="A226" s="46" t="s">
        <v>387</v>
      </c>
      <c r="B226" s="21"/>
      <c r="C226" s="21"/>
      <c r="D226" s="21"/>
      <c r="E226" s="21"/>
      <c r="F226" s="47">
        <f>30.2</f>
        <v>30.2</v>
      </c>
      <c r="G226" s="22">
        <f>30</f>
        <v>30</v>
      </c>
      <c r="H226" s="47">
        <f>30.2</f>
        <v>30.2</v>
      </c>
      <c r="I226" s="22">
        <f>H226</f>
        <v>30.2</v>
      </c>
      <c r="J226" s="24">
        <f>'FY21 w YOY comp'!K248</f>
        <v>1500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5">
      <c r="A227" s="122" t="s">
        <v>391</v>
      </c>
      <c r="B227" s="178">
        <f t="shared" ref="B227:F227" si="106">SUM(B222:B226)</f>
        <v>392.23</v>
      </c>
      <c r="C227" s="178">
        <f t="shared" si="106"/>
        <v>610.16999999999996</v>
      </c>
      <c r="D227" s="178">
        <f t="shared" si="106"/>
        <v>759.66</v>
      </c>
      <c r="E227" s="178">
        <f t="shared" si="106"/>
        <v>3831.51</v>
      </c>
      <c r="F227" s="178">
        <f t="shared" si="106"/>
        <v>274.68</v>
      </c>
      <c r="G227" s="178">
        <f>SUM(G223:G226)</f>
        <v>1630</v>
      </c>
      <c r="H227" s="178">
        <f t="shared" ref="H227:I227" si="107">SUM(H222:H226)</f>
        <v>166</v>
      </c>
      <c r="I227" s="178">
        <f t="shared" si="107"/>
        <v>178.34545454545454</v>
      </c>
      <c r="J227" s="180">
        <f>'FY21 w YOY comp'!K250</f>
        <v>2500</v>
      </c>
      <c r="K227" s="131" t="s">
        <v>540</v>
      </c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  <c r="AA227" s="131"/>
    </row>
    <row r="228" spans="1:27" ht="15.75" customHeight="1" x14ac:dyDescent="0.25">
      <c r="A228" s="122" t="s">
        <v>541</v>
      </c>
      <c r="B228" s="125"/>
      <c r="C228" s="125"/>
      <c r="D228" s="125"/>
      <c r="E228" s="125"/>
      <c r="F228" s="124"/>
      <c r="G228" s="124"/>
      <c r="H228" s="125"/>
      <c r="I228" s="124"/>
      <c r="J228" s="127">
        <f>'FY21 w YOY comp'!K251</f>
        <v>0</v>
      </c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131"/>
      <c r="AA228" s="131"/>
    </row>
    <row r="229" spans="1:27" ht="15.75" customHeight="1" x14ac:dyDescent="0.25">
      <c r="A229" s="122" t="s">
        <v>393</v>
      </c>
      <c r="B229" s="125"/>
      <c r="C229" s="123">
        <f t="shared" ref="C229:D229" si="108">120</f>
        <v>120</v>
      </c>
      <c r="D229" s="123">
        <f t="shared" si="108"/>
        <v>120</v>
      </c>
      <c r="E229" s="125"/>
      <c r="F229" s="123">
        <f>240</f>
        <v>240</v>
      </c>
      <c r="G229" s="124">
        <f>1700</f>
        <v>1700</v>
      </c>
      <c r="H229" s="123">
        <f>758.97</f>
        <v>758.97</v>
      </c>
      <c r="I229" s="124">
        <f>H229</f>
        <v>758.97</v>
      </c>
      <c r="J229" s="127">
        <f>'FY21 w YOY comp'!K252</f>
        <v>216</v>
      </c>
      <c r="K229" s="290" t="s">
        <v>542</v>
      </c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131"/>
      <c r="AA229" s="131"/>
    </row>
    <row r="230" spans="1:27" ht="15.75" hidden="1" customHeight="1" x14ac:dyDescent="0.25">
      <c r="A230" s="46" t="s">
        <v>396</v>
      </c>
      <c r="B230" s="21"/>
      <c r="C230" s="21"/>
      <c r="D230" s="21"/>
      <c r="E230" s="21"/>
      <c r="F230" s="47">
        <f>81.11</f>
        <v>81.11</v>
      </c>
      <c r="G230" s="22"/>
      <c r="H230" s="47">
        <f>81.11</f>
        <v>81.11</v>
      </c>
      <c r="I230" s="22">
        <f>(H230/11)*12</f>
        <v>88.483636363636364</v>
      </c>
      <c r="J230" s="24">
        <f>'FY21 w YOY comp'!K253</f>
        <v>1300</v>
      </c>
      <c r="K230" s="1" t="s">
        <v>397</v>
      </c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5">
      <c r="A231" s="122" t="s">
        <v>399</v>
      </c>
      <c r="B231" s="178">
        <f t="shared" ref="B231:F231" si="109">SUM(B230)</f>
        <v>0</v>
      </c>
      <c r="C231" s="178">
        <f t="shared" si="109"/>
        <v>0</v>
      </c>
      <c r="D231" s="178">
        <f t="shared" si="109"/>
        <v>0</v>
      </c>
      <c r="E231" s="178">
        <f t="shared" si="109"/>
        <v>0</v>
      </c>
      <c r="F231" s="178">
        <f t="shared" si="109"/>
        <v>81.11</v>
      </c>
      <c r="G231" s="178">
        <f>350</f>
        <v>350</v>
      </c>
      <c r="H231" s="178">
        <f t="shared" ref="H231:I231" si="110">SUM(H230)</f>
        <v>81.11</v>
      </c>
      <c r="I231" s="178">
        <f t="shared" si="110"/>
        <v>88.483636363636364</v>
      </c>
      <c r="J231" s="180">
        <f>'FY21 w YOY comp'!K255</f>
        <v>1300</v>
      </c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131"/>
      <c r="AA231" s="131"/>
    </row>
    <row r="232" spans="1:27" ht="15.75" customHeight="1" x14ac:dyDescent="0.25">
      <c r="A232" s="122" t="s">
        <v>400</v>
      </c>
      <c r="B232" s="125"/>
      <c r="C232" s="123">
        <f>14.96</f>
        <v>14.96</v>
      </c>
      <c r="D232" s="125"/>
      <c r="E232" s="123">
        <f t="shared" ref="E232:F232" si="111">65</f>
        <v>65</v>
      </c>
      <c r="F232" s="123">
        <f t="shared" si="111"/>
        <v>65</v>
      </c>
      <c r="G232" s="124"/>
      <c r="H232" s="125"/>
      <c r="I232" s="124"/>
      <c r="J232" s="127">
        <f>'FY21 w YOY comp'!K256</f>
        <v>100</v>
      </c>
      <c r="K232" s="131" t="s">
        <v>543</v>
      </c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1"/>
      <c r="Z232" s="131"/>
      <c r="AA232" s="131"/>
    </row>
    <row r="233" spans="1:27" ht="15.75" hidden="1" customHeight="1" x14ac:dyDescent="0.25">
      <c r="A233" s="46" t="s">
        <v>403</v>
      </c>
      <c r="B233" s="21"/>
      <c r="C233" s="21"/>
      <c r="D233" s="21"/>
      <c r="E233" s="47">
        <f>101.71</f>
        <v>101.71</v>
      </c>
      <c r="F233" s="22"/>
      <c r="G233" s="59"/>
      <c r="H233" s="21"/>
      <c r="I233" s="22"/>
      <c r="J233" s="61">
        <f>'FY21 w YOY comp'!K258</f>
        <v>0</v>
      </c>
      <c r="K233" s="26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hidden="1" customHeight="1" x14ac:dyDescent="0.25">
      <c r="A234" s="46" t="s">
        <v>405</v>
      </c>
      <c r="B234" s="21"/>
      <c r="C234" s="21"/>
      <c r="D234" s="21"/>
      <c r="E234" s="47">
        <f>1012.01</f>
        <v>1012.01</v>
      </c>
      <c r="F234" s="47">
        <f>1940</f>
        <v>1940</v>
      </c>
      <c r="G234" s="59"/>
      <c r="H234" s="47"/>
      <c r="I234" s="22">
        <f>(H234/9)*12</f>
        <v>0</v>
      </c>
      <c r="J234" s="61">
        <f>'FY21 w YOY comp'!K260</f>
        <v>0</v>
      </c>
      <c r="K234" s="26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hidden="1" customHeight="1" x14ac:dyDescent="0.25">
      <c r="A235" s="122" t="s">
        <v>407</v>
      </c>
      <c r="B235" s="178">
        <f t="shared" ref="B235:F235" si="112">SUM(B233:B234)</f>
        <v>0</v>
      </c>
      <c r="C235" s="178">
        <f t="shared" si="112"/>
        <v>0</v>
      </c>
      <c r="D235" s="178">
        <f t="shared" si="112"/>
        <v>0</v>
      </c>
      <c r="E235" s="178">
        <f t="shared" si="112"/>
        <v>1113.72</v>
      </c>
      <c r="F235" s="178">
        <f t="shared" si="112"/>
        <v>1940</v>
      </c>
      <c r="G235" s="178"/>
      <c r="H235" s="178">
        <f t="shared" ref="H235:I235" si="113">SUM(H233:H234)</f>
        <v>0</v>
      </c>
      <c r="I235" s="178">
        <f t="shared" si="113"/>
        <v>0</v>
      </c>
      <c r="J235" s="180">
        <f>'FY21 w YOY comp'!K262</f>
        <v>0</v>
      </c>
      <c r="K235" s="29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  <c r="AA235" s="131"/>
    </row>
    <row r="236" spans="1:27" ht="15.75" customHeight="1" x14ac:dyDescent="0.25">
      <c r="A236" s="122" t="s">
        <v>408</v>
      </c>
      <c r="B236" s="125"/>
      <c r="C236" s="125"/>
      <c r="D236" s="123">
        <f>860</f>
        <v>860</v>
      </c>
      <c r="E236" s="125"/>
      <c r="F236" s="123">
        <f>2850.24</f>
        <v>2850.24</v>
      </c>
      <c r="G236" s="124"/>
      <c r="H236" s="123"/>
      <c r="I236" s="124">
        <f>(H236/9)*12</f>
        <v>0</v>
      </c>
      <c r="J236" s="127">
        <f>'FY21 w YOY comp'!K263</f>
        <v>0</v>
      </c>
      <c r="K236" s="29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  <c r="AA236" s="131"/>
    </row>
    <row r="237" spans="1:27" ht="15.75" customHeight="1" x14ac:dyDescent="0.25">
      <c r="A237" s="217" t="s">
        <v>409</v>
      </c>
      <c r="B237" s="218">
        <f t="shared" ref="B237:F237" si="114">SUM(B219:B221)+SUM(B227:B229)+SUM(B231:B232)+SUM(B235:B236)</f>
        <v>464.97</v>
      </c>
      <c r="C237" s="218">
        <f t="shared" si="114"/>
        <v>901.01</v>
      </c>
      <c r="D237" s="218">
        <f t="shared" si="114"/>
        <v>1789.6599999999999</v>
      </c>
      <c r="E237" s="218">
        <f t="shared" si="114"/>
        <v>5063.42</v>
      </c>
      <c r="F237" s="218">
        <f t="shared" si="114"/>
        <v>5551.03</v>
      </c>
      <c r="G237" s="218">
        <f>G221+SUM(G227:G231)</f>
        <v>3780</v>
      </c>
      <c r="H237" s="218">
        <f>SUM(H219:H221)+SUM(H227:H229)+SUM(H231:H232)</f>
        <v>1106.08</v>
      </c>
      <c r="I237" s="218">
        <f>SUM(I219:I221)+SUM(I227:I229)+SUM(I231:I232)+SUM(I235:I236)</f>
        <v>1134.8900000000001</v>
      </c>
      <c r="J237" s="220">
        <f>'FY21 w YOY comp'!K264</f>
        <v>4416</v>
      </c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4"/>
      <c r="W237" s="224"/>
      <c r="X237" s="224"/>
      <c r="Y237" s="224"/>
      <c r="Z237" s="224"/>
      <c r="AA237" s="224"/>
    </row>
    <row r="238" spans="1:27" ht="15.75" customHeight="1" x14ac:dyDescent="0.25">
      <c r="A238" s="20"/>
      <c r="B238" s="47"/>
      <c r="C238" s="21"/>
      <c r="D238" s="21"/>
      <c r="E238" s="21"/>
      <c r="F238" s="47"/>
      <c r="G238" s="22"/>
      <c r="H238" s="47"/>
      <c r="I238" s="22"/>
      <c r="J238" s="24">
        <f>'FY21 w YOY comp'!K265</f>
        <v>0</v>
      </c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5">
      <c r="A239" s="122" t="s">
        <v>410</v>
      </c>
      <c r="B239" s="123">
        <f>304.23</f>
        <v>304.23</v>
      </c>
      <c r="C239" s="125"/>
      <c r="D239" s="125"/>
      <c r="E239" s="125"/>
      <c r="F239" s="123">
        <f>57.57</f>
        <v>57.57</v>
      </c>
      <c r="G239" s="124"/>
      <c r="H239" s="123">
        <f>57.57</f>
        <v>57.57</v>
      </c>
      <c r="I239" s="124">
        <f>(H239/11)*12</f>
        <v>62.803636363636357</v>
      </c>
      <c r="J239" s="127">
        <f>'FY21 w YOY comp'!K266</f>
        <v>0</v>
      </c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  <c r="U239" s="131"/>
      <c r="V239" s="131"/>
      <c r="W239" s="131"/>
      <c r="X239" s="131"/>
      <c r="Y239" s="131"/>
      <c r="Z239" s="131"/>
      <c r="AA239" s="131"/>
    </row>
    <row r="240" spans="1:27" ht="15.75" hidden="1" customHeight="1" x14ac:dyDescent="0.25">
      <c r="A240" s="46" t="s">
        <v>412</v>
      </c>
      <c r="B240" s="47">
        <f>127.55</f>
        <v>127.55</v>
      </c>
      <c r="C240" s="21"/>
      <c r="D240" s="21"/>
      <c r="E240" s="21"/>
      <c r="F240" s="22"/>
      <c r="G240" s="22"/>
      <c r="H240" s="21"/>
      <c r="I240" s="22"/>
      <c r="J240" s="24">
        <f>'FY21 w YOY comp'!K268</f>
        <v>0</v>
      </c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hidden="1" customHeight="1" x14ac:dyDescent="0.25">
      <c r="A241" s="46" t="s">
        <v>413</v>
      </c>
      <c r="B241" s="47">
        <f>8.98</f>
        <v>8.98</v>
      </c>
      <c r="C241" s="47">
        <f>79.06</f>
        <v>79.06</v>
      </c>
      <c r="D241" s="47">
        <f>108.06</f>
        <v>108.06</v>
      </c>
      <c r="E241" s="47">
        <f>35.5</f>
        <v>35.5</v>
      </c>
      <c r="F241" s="47">
        <f>103.1</f>
        <v>103.1</v>
      </c>
      <c r="G241" s="22"/>
      <c r="H241" s="47">
        <f>86.1</f>
        <v>86.1</v>
      </c>
      <c r="I241" s="22">
        <f t="shared" ref="I241:I243" si="115">(H241/11)*12</f>
        <v>93.927272727272722</v>
      </c>
      <c r="J241" s="24">
        <f>'FY21 w YOY comp'!K269</f>
        <v>200</v>
      </c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hidden="1" customHeight="1" x14ac:dyDescent="0.25">
      <c r="A242" s="46" t="s">
        <v>414</v>
      </c>
      <c r="B242" s="21"/>
      <c r="C242" s="47">
        <f>165.33</f>
        <v>165.33</v>
      </c>
      <c r="D242" s="21"/>
      <c r="E242" s="21"/>
      <c r="F242" s="22"/>
      <c r="G242" s="22"/>
      <c r="H242" s="21">
        <f>10</f>
        <v>10</v>
      </c>
      <c r="I242" s="22">
        <f t="shared" si="115"/>
        <v>10.909090909090908</v>
      </c>
      <c r="J242" s="24">
        <f>'FY21 w YOY comp'!K270</f>
        <v>0</v>
      </c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hidden="1" customHeight="1" x14ac:dyDescent="0.25">
      <c r="A243" s="46" t="s">
        <v>415</v>
      </c>
      <c r="B243" s="21"/>
      <c r="C243" s="47">
        <f>271.01</f>
        <v>271.01</v>
      </c>
      <c r="D243" s="47">
        <f>586.22</f>
        <v>586.22</v>
      </c>
      <c r="E243" s="47">
        <f>1186.48</f>
        <v>1186.48</v>
      </c>
      <c r="F243" s="47">
        <f>220.48</f>
        <v>220.48</v>
      </c>
      <c r="G243" s="22">
        <f>300</f>
        <v>300</v>
      </c>
      <c r="H243" s="47">
        <f>213.29</f>
        <v>213.29</v>
      </c>
      <c r="I243" s="22">
        <f t="shared" si="115"/>
        <v>232.68</v>
      </c>
      <c r="J243" s="24">
        <f>'FY21 w YOY comp'!K271</f>
        <v>0</v>
      </c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hidden="1" customHeight="1" x14ac:dyDescent="0.25">
      <c r="A244" s="46" t="s">
        <v>416</v>
      </c>
      <c r="B244" s="21"/>
      <c r="C244" s="47">
        <f>625</f>
        <v>625</v>
      </c>
      <c r="D244" s="47">
        <f>539.5</f>
        <v>539.5</v>
      </c>
      <c r="E244" s="47">
        <f>275</f>
        <v>275</v>
      </c>
      <c r="F244" s="22"/>
      <c r="G244" s="22"/>
      <c r="H244" s="21"/>
      <c r="I244" s="22"/>
      <c r="J244" s="24">
        <f>'FY21 w YOY comp'!K272</f>
        <v>0</v>
      </c>
      <c r="K244" s="26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5">
      <c r="A245" s="122" t="s">
        <v>417</v>
      </c>
      <c r="B245" s="178">
        <f t="shared" ref="B245:F245" si="116">SUM(B240:B244)</f>
        <v>136.53</v>
      </c>
      <c r="C245" s="178">
        <f t="shared" si="116"/>
        <v>1140.4000000000001</v>
      </c>
      <c r="D245" s="178">
        <f t="shared" si="116"/>
        <v>1233.78</v>
      </c>
      <c r="E245" s="178">
        <f t="shared" si="116"/>
        <v>1496.98</v>
      </c>
      <c r="F245" s="178">
        <f t="shared" si="116"/>
        <v>323.58</v>
      </c>
      <c r="G245" s="178">
        <f>SUM(G241:G244)</f>
        <v>300</v>
      </c>
      <c r="H245" s="178">
        <f t="shared" ref="H245:I245" si="117">SUM(H240:H244)</f>
        <v>309.39</v>
      </c>
      <c r="I245" s="178">
        <f t="shared" si="117"/>
        <v>337.51636363636362</v>
      </c>
      <c r="J245" s="180">
        <f>'FY21 w YOY comp'!K273</f>
        <v>200</v>
      </c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  <c r="W245" s="131"/>
      <c r="X245" s="131"/>
      <c r="Y245" s="131"/>
      <c r="Z245" s="131"/>
      <c r="AA245" s="131"/>
    </row>
    <row r="246" spans="1:27" ht="15.75" hidden="1" customHeight="1" x14ac:dyDescent="0.25">
      <c r="A246" s="46" t="s">
        <v>418</v>
      </c>
      <c r="B246" s="21"/>
      <c r="C246" s="21"/>
      <c r="D246" s="21"/>
      <c r="E246" s="21"/>
      <c r="F246" s="22"/>
      <c r="G246" s="22"/>
      <c r="H246" s="21"/>
      <c r="I246" s="22"/>
      <c r="J246" s="24">
        <f>'FY21 w YOY comp'!K274</f>
        <v>0</v>
      </c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hidden="1" customHeight="1" x14ac:dyDescent="0.25">
      <c r="A247" s="46" t="s">
        <v>419</v>
      </c>
      <c r="B247" s="21"/>
      <c r="C247" s="21"/>
      <c r="D247" s="21"/>
      <c r="E247" s="47">
        <f>16.82</f>
        <v>16.82</v>
      </c>
      <c r="F247" s="22"/>
      <c r="G247" s="22">
        <f>250</f>
        <v>250</v>
      </c>
      <c r="H247" s="21"/>
      <c r="I247" s="22"/>
      <c r="J247" s="24">
        <f>'FY21 w YOY comp'!K275</f>
        <v>0</v>
      </c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hidden="1" customHeight="1" x14ac:dyDescent="0.25">
      <c r="A248" s="46" t="s">
        <v>420</v>
      </c>
      <c r="B248" s="21"/>
      <c r="C248" s="47">
        <f>14.23</f>
        <v>14.23</v>
      </c>
      <c r="D248" s="21"/>
      <c r="E248" s="21"/>
      <c r="F248" s="47">
        <f>18</f>
        <v>18</v>
      </c>
      <c r="G248" s="22">
        <f>400</f>
        <v>400</v>
      </c>
      <c r="H248" s="47">
        <f>18</f>
        <v>18</v>
      </c>
      <c r="I248" s="22">
        <f>(H248/11)*12</f>
        <v>19.636363636363637</v>
      </c>
      <c r="J248" s="24">
        <f>'FY21 w YOY comp'!K276</f>
        <v>200</v>
      </c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hidden="1" customHeight="1" x14ac:dyDescent="0.25">
      <c r="A249" s="46" t="s">
        <v>421</v>
      </c>
      <c r="B249" s="21"/>
      <c r="C249" s="47">
        <f>229.5</f>
        <v>229.5</v>
      </c>
      <c r="D249" s="47">
        <f>2257.8</f>
        <v>2257.8000000000002</v>
      </c>
      <c r="E249" s="47">
        <f>17.17</f>
        <v>17.170000000000002</v>
      </c>
      <c r="F249" s="22"/>
      <c r="G249" s="22">
        <f>100</f>
        <v>100</v>
      </c>
      <c r="H249" s="21"/>
      <c r="I249" s="22"/>
      <c r="J249" s="24">
        <f>'FY21 w YOY comp'!K277</f>
        <v>100</v>
      </c>
      <c r="K249" s="1" t="s">
        <v>544</v>
      </c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hidden="1" customHeight="1" x14ac:dyDescent="0.25">
      <c r="A250" s="46" t="s">
        <v>423</v>
      </c>
      <c r="B250" s="21"/>
      <c r="C250" s="21"/>
      <c r="D250" s="21"/>
      <c r="E250" s="21"/>
      <c r="F250" s="22"/>
      <c r="G250" s="22">
        <v>100</v>
      </c>
      <c r="H250" s="21"/>
      <c r="I250" s="22"/>
      <c r="J250" s="24">
        <f>'FY21 w YOY comp'!K278</f>
        <v>0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hidden="1" customHeight="1" x14ac:dyDescent="0.25">
      <c r="A251" s="46" t="s">
        <v>425</v>
      </c>
      <c r="B251" s="21"/>
      <c r="C251" s="21"/>
      <c r="D251" s="21"/>
      <c r="E251" s="21"/>
      <c r="F251" s="22"/>
      <c r="G251" s="22">
        <f>150</f>
        <v>150</v>
      </c>
      <c r="H251" s="21"/>
      <c r="I251" s="22"/>
      <c r="J251" s="24">
        <f>'FY21 w YOY comp'!K279</f>
        <v>150</v>
      </c>
      <c r="K251" s="1" t="s">
        <v>545</v>
      </c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hidden="1" customHeight="1" x14ac:dyDescent="0.25">
      <c r="A252" s="46" t="s">
        <v>428</v>
      </c>
      <c r="B252" s="21"/>
      <c r="C252" s="21"/>
      <c r="D252" s="21"/>
      <c r="E252" s="47">
        <f>11.93</f>
        <v>11.93</v>
      </c>
      <c r="F252" s="47">
        <f>6.17</f>
        <v>6.17</v>
      </c>
      <c r="G252" s="22">
        <f>50</f>
        <v>50</v>
      </c>
      <c r="H252" s="47">
        <f>6.17</f>
        <v>6.17</v>
      </c>
      <c r="I252" s="22">
        <f>(H252/11)*12</f>
        <v>6.7309090909090905</v>
      </c>
      <c r="J252" s="24">
        <f>'FY21 w YOY comp'!K280</f>
        <v>30</v>
      </c>
      <c r="K252" s="1" t="s">
        <v>429</v>
      </c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hidden="1" customHeight="1" x14ac:dyDescent="0.25">
      <c r="A253" s="46" t="s">
        <v>430</v>
      </c>
      <c r="B253" s="21"/>
      <c r="C253" s="21"/>
      <c r="D253" s="47">
        <f>95.38</f>
        <v>95.38</v>
      </c>
      <c r="E253" s="21"/>
      <c r="F253" s="22"/>
      <c r="G253" s="22"/>
      <c r="H253" s="21"/>
      <c r="I253" s="22"/>
      <c r="J253" s="24">
        <f>'FY21 w YOY comp'!K281</f>
        <v>0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hidden="1" customHeight="1" x14ac:dyDescent="0.25">
      <c r="A254" s="46" t="s">
        <v>431</v>
      </c>
      <c r="B254" s="21"/>
      <c r="C254" s="21"/>
      <c r="D254" s="21"/>
      <c r="E254" s="21"/>
      <c r="F254" s="22"/>
      <c r="G254" s="22">
        <v>100</v>
      </c>
      <c r="H254" s="21"/>
      <c r="I254" s="22"/>
      <c r="J254" s="24">
        <f>'FY21 w YOY comp'!K282</f>
        <v>30</v>
      </c>
      <c r="K254" s="1" t="s">
        <v>432</v>
      </c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5">
      <c r="A255" s="122" t="s">
        <v>433</v>
      </c>
      <c r="B255" s="178">
        <f t="shared" ref="B255:F255" si="118">SUM(B246:B254)</f>
        <v>0</v>
      </c>
      <c r="C255" s="178">
        <f t="shared" si="118"/>
        <v>243.73</v>
      </c>
      <c r="D255" s="178">
        <f t="shared" si="118"/>
        <v>2353.1800000000003</v>
      </c>
      <c r="E255" s="178">
        <f t="shared" si="118"/>
        <v>45.92</v>
      </c>
      <c r="F255" s="178">
        <f t="shared" si="118"/>
        <v>24.17</v>
      </c>
      <c r="G255" s="178">
        <f>SUM(G247:G254)</f>
        <v>1150</v>
      </c>
      <c r="H255" s="178">
        <f t="shared" ref="H255:I255" si="119">SUM(H246:H254)</f>
        <v>24.17</v>
      </c>
      <c r="I255" s="178">
        <f t="shared" si="119"/>
        <v>26.367272727272727</v>
      </c>
      <c r="J255" s="180">
        <f>'FY21 w YOY comp'!K283</f>
        <v>510</v>
      </c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  <c r="W255" s="131"/>
      <c r="X255" s="131"/>
      <c r="Y255" s="131"/>
      <c r="Z255" s="131"/>
      <c r="AA255" s="131"/>
    </row>
    <row r="256" spans="1:27" ht="15.75" hidden="1" customHeight="1" x14ac:dyDescent="0.25">
      <c r="A256" s="46" t="s">
        <v>434</v>
      </c>
      <c r="B256" s="21"/>
      <c r="C256" s="21"/>
      <c r="D256" s="21"/>
      <c r="E256" s="21"/>
      <c r="F256" s="22"/>
      <c r="G256" s="22"/>
      <c r="H256" s="21"/>
      <c r="I256" s="22"/>
      <c r="J256" s="24">
        <f>'FY21 w YOY comp'!K284</f>
        <v>0</v>
      </c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hidden="1" customHeight="1" x14ac:dyDescent="0.25">
      <c r="A257" s="46" t="s">
        <v>435</v>
      </c>
      <c r="B257" s="21"/>
      <c r="C257" s="47">
        <f>630</f>
        <v>630</v>
      </c>
      <c r="D257" s="47">
        <f>214.77</f>
        <v>214.77</v>
      </c>
      <c r="E257" s="21"/>
      <c r="F257" s="22"/>
      <c r="G257" s="22"/>
      <c r="H257" s="21"/>
      <c r="I257" s="22"/>
      <c r="J257" s="24">
        <f>'FY21 w YOY comp'!K285</f>
        <v>0</v>
      </c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hidden="1" customHeight="1" x14ac:dyDescent="0.25">
      <c r="A258" s="46" t="s">
        <v>436</v>
      </c>
      <c r="B258" s="21"/>
      <c r="C258" s="47">
        <f>293.76</f>
        <v>293.76</v>
      </c>
      <c r="D258" s="47">
        <f>336</f>
        <v>336</v>
      </c>
      <c r="E258" s="21"/>
      <c r="F258" s="22"/>
      <c r="G258" s="22">
        <f>100</f>
        <v>100</v>
      </c>
      <c r="H258" s="21">
        <f>354</f>
        <v>354</v>
      </c>
      <c r="I258" s="22">
        <f t="shared" ref="I258:I261" si="120">(H258/11)*12</f>
        <v>386.18181818181813</v>
      </c>
      <c r="J258" s="24">
        <f>'FY21 w YOY comp'!K286</f>
        <v>200</v>
      </c>
      <c r="K258" s="1" t="s">
        <v>438</v>
      </c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hidden="1" customHeight="1" x14ac:dyDescent="0.25">
      <c r="A259" s="46" t="s">
        <v>439</v>
      </c>
      <c r="B259" s="47">
        <f>491.81</f>
        <v>491.81</v>
      </c>
      <c r="C259" s="47">
        <f>473.64</f>
        <v>473.64</v>
      </c>
      <c r="D259" s="47">
        <f>475.37</f>
        <v>475.37</v>
      </c>
      <c r="E259" s="47">
        <f>367.46</f>
        <v>367.46</v>
      </c>
      <c r="F259" s="47">
        <f>156.71</f>
        <v>156.71</v>
      </c>
      <c r="G259" s="22">
        <f>400</f>
        <v>400</v>
      </c>
      <c r="H259" s="47">
        <f>352.07</f>
        <v>352.07</v>
      </c>
      <c r="I259" s="22">
        <f t="shared" si="120"/>
        <v>384.07636363636368</v>
      </c>
      <c r="J259" s="73">
        <f>'FY21 w YOY comp'!K287</f>
        <v>512</v>
      </c>
      <c r="K259" s="1" t="s">
        <v>441</v>
      </c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hidden="1" customHeight="1" x14ac:dyDescent="0.25">
      <c r="A260" s="46" t="s">
        <v>442</v>
      </c>
      <c r="B260" s="47">
        <f>86</f>
        <v>86</v>
      </c>
      <c r="C260" s="47">
        <f>129.5</f>
        <v>129.5</v>
      </c>
      <c r="D260" s="47">
        <f>154.25</f>
        <v>154.25</v>
      </c>
      <c r="E260" s="47">
        <f>17.16</f>
        <v>17.16</v>
      </c>
      <c r="F260" s="47">
        <f>15.58</f>
        <v>15.58</v>
      </c>
      <c r="G260" s="22">
        <f>100</f>
        <v>100</v>
      </c>
      <c r="H260" s="47">
        <f>15.58</f>
        <v>15.58</v>
      </c>
      <c r="I260" s="22">
        <f t="shared" si="120"/>
        <v>16.996363636363636</v>
      </c>
      <c r="J260" s="73">
        <f>'FY21 w YOY comp'!K288</f>
        <v>165</v>
      </c>
      <c r="K260" s="1" t="s">
        <v>443</v>
      </c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hidden="1" customHeight="1" x14ac:dyDescent="0.25">
      <c r="A261" s="46" t="s">
        <v>444</v>
      </c>
      <c r="B261" s="21"/>
      <c r="C261" s="21"/>
      <c r="D261" s="21"/>
      <c r="E261" s="47">
        <f>11.94</f>
        <v>11.94</v>
      </c>
      <c r="F261" s="47">
        <f>6.17</f>
        <v>6.17</v>
      </c>
      <c r="G261" s="22"/>
      <c r="H261" s="47">
        <f>6.17</f>
        <v>6.17</v>
      </c>
      <c r="I261" s="22">
        <f t="shared" si="120"/>
        <v>6.7309090909090905</v>
      </c>
      <c r="J261" s="73">
        <f>'FY21 w YOY comp'!K289</f>
        <v>0</v>
      </c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5">
      <c r="A262" s="122" t="s">
        <v>446</v>
      </c>
      <c r="B262" s="178">
        <f t="shared" ref="B262:F262" si="121">SUM(B256:B261)</f>
        <v>577.80999999999995</v>
      </c>
      <c r="C262" s="178">
        <f t="shared" si="121"/>
        <v>1526.9</v>
      </c>
      <c r="D262" s="178">
        <f t="shared" si="121"/>
        <v>1180.3899999999999</v>
      </c>
      <c r="E262" s="178">
        <f t="shared" si="121"/>
        <v>396.56</v>
      </c>
      <c r="F262" s="178">
        <f t="shared" si="121"/>
        <v>178.46</v>
      </c>
      <c r="G262" s="178">
        <f>SUM(G257:G261)</f>
        <v>600</v>
      </c>
      <c r="H262" s="178">
        <f t="shared" ref="H262:I262" si="122">SUM(H256:H261)</f>
        <v>727.81999999999994</v>
      </c>
      <c r="I262" s="178">
        <f t="shared" si="122"/>
        <v>793.98545454545456</v>
      </c>
      <c r="J262" s="180">
        <f>'FY21 w YOY comp'!K291</f>
        <v>877</v>
      </c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  <c r="W262" s="131"/>
      <c r="X262" s="131"/>
      <c r="Y262" s="131"/>
      <c r="Z262" s="131"/>
      <c r="AA262" s="131"/>
    </row>
    <row r="263" spans="1:27" ht="15.75" hidden="1" customHeight="1" x14ac:dyDescent="0.25">
      <c r="A263" s="46" t="s">
        <v>447</v>
      </c>
      <c r="B263" s="21"/>
      <c r="C263" s="21"/>
      <c r="D263" s="21"/>
      <c r="E263" s="21"/>
      <c r="F263" s="22"/>
      <c r="G263" s="22"/>
      <c r="H263" s="21"/>
      <c r="I263" s="22"/>
      <c r="J263" s="24">
        <f>'FY21 w YOY comp'!K292</f>
        <v>0</v>
      </c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hidden="1" customHeight="1" x14ac:dyDescent="0.25">
      <c r="A264" s="46" t="s">
        <v>448</v>
      </c>
      <c r="B264" s="21"/>
      <c r="C264" s="21"/>
      <c r="D264" s="47">
        <f>36.51</f>
        <v>36.51</v>
      </c>
      <c r="E264" s="47">
        <f>180.06</f>
        <v>180.06</v>
      </c>
      <c r="F264" s="47">
        <f>543.69</f>
        <v>543.69000000000005</v>
      </c>
      <c r="G264" s="22">
        <f>100</f>
        <v>100</v>
      </c>
      <c r="H264" s="47">
        <f>363.63</f>
        <v>363.63</v>
      </c>
      <c r="I264" s="22">
        <f>H264</f>
        <v>363.63</v>
      </c>
      <c r="J264" s="24">
        <f>'FY21 w YOY comp'!K293</f>
        <v>150</v>
      </c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hidden="1" customHeight="1" x14ac:dyDescent="0.25">
      <c r="A265" s="46" t="s">
        <v>449</v>
      </c>
      <c r="B265" s="47">
        <f>10.59</f>
        <v>10.59</v>
      </c>
      <c r="C265" s="21"/>
      <c r="D265" s="47">
        <f>364.09</f>
        <v>364.09</v>
      </c>
      <c r="E265" s="47">
        <f>521.44</f>
        <v>521.44000000000005</v>
      </c>
      <c r="F265" s="22"/>
      <c r="G265" s="22">
        <f>250</f>
        <v>250</v>
      </c>
      <c r="H265" s="21">
        <f>98.76</f>
        <v>98.76</v>
      </c>
      <c r="I265" s="22">
        <f>(H265/11)*12</f>
        <v>107.73818181818183</v>
      </c>
      <c r="J265" s="24">
        <f>'FY21 w YOY comp'!K294</f>
        <v>150</v>
      </c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hidden="1" customHeight="1" x14ac:dyDescent="0.25">
      <c r="A266" s="46" t="s">
        <v>452</v>
      </c>
      <c r="B266" s="47">
        <f>2396.51</f>
        <v>2396.5100000000002</v>
      </c>
      <c r="C266" s="47">
        <f>1995.03</f>
        <v>1995.03</v>
      </c>
      <c r="D266" s="47">
        <f>4061.84</f>
        <v>4061.84</v>
      </c>
      <c r="E266" s="47">
        <f>4021.21</f>
        <v>4021.21</v>
      </c>
      <c r="F266" s="47">
        <f>2605.28</f>
        <v>2605.2800000000002</v>
      </c>
      <c r="G266" s="22">
        <f>5000</f>
        <v>5000</v>
      </c>
      <c r="H266" s="47">
        <f>264.98</f>
        <v>264.98</v>
      </c>
      <c r="I266" s="22">
        <f>H266</f>
        <v>264.98</v>
      </c>
      <c r="J266" s="24">
        <f>'FY21 w YOY comp'!K296</f>
        <v>5000</v>
      </c>
      <c r="K266" s="1" t="s">
        <v>454</v>
      </c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hidden="1" customHeight="1" x14ac:dyDescent="0.25">
      <c r="A267" s="46" t="s">
        <v>455</v>
      </c>
      <c r="B267" s="47">
        <f>246.47</f>
        <v>246.47</v>
      </c>
      <c r="C267" s="47">
        <f>401.67</f>
        <v>401.67</v>
      </c>
      <c r="D267" s="47">
        <f>615.74</f>
        <v>615.74</v>
      </c>
      <c r="E267" s="47">
        <f>924.86</f>
        <v>924.86</v>
      </c>
      <c r="F267" s="47">
        <f>914.48</f>
        <v>914.48</v>
      </c>
      <c r="G267" s="22">
        <f>1000</f>
        <v>1000</v>
      </c>
      <c r="H267" s="21"/>
      <c r="I267" s="22"/>
      <c r="J267" s="24">
        <f>'FY21 w YOY comp'!K297</f>
        <v>0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hidden="1" customHeight="1" x14ac:dyDescent="0.25">
      <c r="A268" s="46" t="s">
        <v>456</v>
      </c>
      <c r="B268" s="47">
        <f>142.05</f>
        <v>142.05000000000001</v>
      </c>
      <c r="C268" s="47">
        <f>60.86</f>
        <v>60.86</v>
      </c>
      <c r="D268" s="47">
        <f>131.11</f>
        <v>131.11000000000001</v>
      </c>
      <c r="E268" s="21"/>
      <c r="F268" s="47">
        <f>39.67</f>
        <v>39.67</v>
      </c>
      <c r="G268" s="22"/>
      <c r="H268" s="47">
        <f>39.67</f>
        <v>39.67</v>
      </c>
      <c r="I268" s="22">
        <f>(H268/11)*12</f>
        <v>43.276363636363641</v>
      </c>
      <c r="J268" s="24">
        <f>'FY21 w YOY comp'!K298</f>
        <v>0</v>
      </c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hidden="1" customHeight="1" x14ac:dyDescent="0.25">
      <c r="A269" s="46" t="s">
        <v>457</v>
      </c>
      <c r="B269" s="47">
        <f>232.81</f>
        <v>232.81</v>
      </c>
      <c r="C269" s="47">
        <f>119.97</f>
        <v>119.97</v>
      </c>
      <c r="D269" s="47">
        <f>322.52</f>
        <v>322.52</v>
      </c>
      <c r="E269" s="47">
        <f>85.61</f>
        <v>85.61</v>
      </c>
      <c r="F269" s="22"/>
      <c r="G269" s="22">
        <f>100</f>
        <v>100</v>
      </c>
      <c r="H269" s="21"/>
      <c r="I269" s="22"/>
      <c r="J269" s="24">
        <f>'FY21 w YOY comp'!K299</f>
        <v>0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hidden="1" customHeight="1" x14ac:dyDescent="0.25">
      <c r="A270" s="46" t="s">
        <v>458</v>
      </c>
      <c r="B270" s="21"/>
      <c r="C270" s="47">
        <f>80.86</f>
        <v>80.86</v>
      </c>
      <c r="D270" s="47">
        <f>345.61</f>
        <v>345.61</v>
      </c>
      <c r="E270" s="47">
        <f>252.99</f>
        <v>252.99</v>
      </c>
      <c r="F270" s="22"/>
      <c r="G270" s="22"/>
      <c r="H270" s="21"/>
      <c r="I270" s="22"/>
      <c r="J270" s="24">
        <f>'FY21 w YOY comp'!K300</f>
        <v>0</v>
      </c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5">
      <c r="A271" s="122" t="s">
        <v>459</v>
      </c>
      <c r="B271" s="178">
        <f t="shared" ref="B271:F271" si="123">SUM(B263:B270)</f>
        <v>3028.4300000000003</v>
      </c>
      <c r="C271" s="178">
        <f t="shared" si="123"/>
        <v>2658.39</v>
      </c>
      <c r="D271" s="178">
        <f t="shared" si="123"/>
        <v>5877.4199999999992</v>
      </c>
      <c r="E271" s="178">
        <f t="shared" si="123"/>
        <v>5986.1699999999992</v>
      </c>
      <c r="F271" s="178">
        <f t="shared" si="123"/>
        <v>4103.12</v>
      </c>
      <c r="G271" s="178">
        <f>SUM(G264:G270)</f>
        <v>6450</v>
      </c>
      <c r="H271" s="178">
        <f t="shared" ref="H271:I271" si="124">SUM(H263:H270)</f>
        <v>767.04</v>
      </c>
      <c r="I271" s="178">
        <f t="shared" si="124"/>
        <v>779.62454545454545</v>
      </c>
      <c r="J271" s="180">
        <f>'FY21 w YOY comp'!K301</f>
        <v>5300</v>
      </c>
      <c r="K271" s="131"/>
      <c r="L271" s="131"/>
      <c r="M271" s="131"/>
      <c r="N271" s="131"/>
      <c r="O271" s="131"/>
      <c r="P271" s="131"/>
      <c r="Q271" s="131"/>
      <c r="R271" s="131"/>
      <c r="S271" s="131"/>
      <c r="T271" s="131"/>
      <c r="U271" s="131"/>
      <c r="V271" s="131"/>
      <c r="W271" s="131"/>
      <c r="X271" s="131"/>
      <c r="Y271" s="131"/>
      <c r="Z271" s="131"/>
      <c r="AA271" s="131"/>
    </row>
    <row r="272" spans="1:27" ht="15.75" customHeight="1" x14ac:dyDescent="0.25">
      <c r="A272" s="122" t="s">
        <v>460</v>
      </c>
      <c r="B272" s="123">
        <f>40.59</f>
        <v>40.590000000000003</v>
      </c>
      <c r="C272" s="123">
        <f>221.19</f>
        <v>221.19</v>
      </c>
      <c r="D272" s="123">
        <f>246.59</f>
        <v>246.59</v>
      </c>
      <c r="E272" s="123">
        <f>135.75</f>
        <v>135.75</v>
      </c>
      <c r="F272" s="123">
        <f>85.96</f>
        <v>85.96</v>
      </c>
      <c r="G272" s="124">
        <f>100</f>
        <v>100</v>
      </c>
      <c r="H272" s="123">
        <f>85.96</f>
        <v>85.96</v>
      </c>
      <c r="I272" s="124">
        <f>(H272/11)*12</f>
        <v>93.774545454545446</v>
      </c>
      <c r="J272" s="127">
        <f>'FY21 w YOY comp'!K302</f>
        <v>88</v>
      </c>
      <c r="K272" s="131" t="s">
        <v>461</v>
      </c>
      <c r="L272" s="131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  <c r="W272" s="131"/>
      <c r="X272" s="131"/>
      <c r="Y272" s="131"/>
      <c r="Z272" s="131"/>
      <c r="AA272" s="131"/>
    </row>
    <row r="273" spans="1:27" ht="15.75" customHeight="1" x14ac:dyDescent="0.25">
      <c r="A273" s="217" t="s">
        <v>462</v>
      </c>
      <c r="B273" s="218" t="e">
        <f t="shared" ref="B273:D273" si="125">((((((((B239))+(#REF!))+(B245))+(B255))+(B262))+(B271))+(B272))</f>
        <v>#REF!</v>
      </c>
      <c r="C273" s="218" t="e">
        <f t="shared" si="125"/>
        <v>#REF!</v>
      </c>
      <c r="D273" s="218" t="e">
        <f t="shared" si="125"/>
        <v>#REF!</v>
      </c>
      <c r="E273" s="218">
        <f>((((((((E239)))+(E245))+(E255))+(E262))+(E271))+(E272))</f>
        <v>8061.3799999999992</v>
      </c>
      <c r="F273" s="218" t="e">
        <f>((((((((F239))+(#REF!))+(F245))+(F255))+(F262))+(F271))+(F272))</f>
        <v>#REF!</v>
      </c>
      <c r="G273" s="218">
        <f>G245+G255+G262+G271+G272</f>
        <v>8600</v>
      </c>
      <c r="H273" s="218" t="e">
        <f>((((((((H239))+(#REF!))+(H245))+(H255))+(H262))+(H271))+(H272))</f>
        <v>#REF!</v>
      </c>
      <c r="I273" s="218">
        <f>((((((((I239))+(I245))+(I255))+(I262))+(I271))+(I272)))</f>
        <v>2094.0718181818183</v>
      </c>
      <c r="J273" s="220">
        <f>'FY21 w YOY comp'!K303</f>
        <v>6975</v>
      </c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4"/>
      <c r="W273" s="224"/>
      <c r="X273" s="224"/>
      <c r="Y273" s="224"/>
      <c r="Z273" s="224"/>
      <c r="AA273" s="224"/>
    </row>
    <row r="274" spans="1:27" ht="15.75" customHeight="1" x14ac:dyDescent="0.25">
      <c r="A274" s="20"/>
      <c r="B274" s="47"/>
      <c r="C274" s="21"/>
      <c r="D274" s="21"/>
      <c r="E274" s="21"/>
      <c r="F274" s="22"/>
      <c r="G274" s="22"/>
      <c r="H274" s="21"/>
      <c r="I274" s="22"/>
      <c r="J274" s="24">
        <f>'FY21 w YOY comp'!K304</f>
        <v>0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5">
      <c r="A275" s="122" t="s">
        <v>463</v>
      </c>
      <c r="B275" s="123">
        <f>122.02</f>
        <v>122.02</v>
      </c>
      <c r="C275" s="125"/>
      <c r="D275" s="125"/>
      <c r="E275" s="125"/>
      <c r="F275" s="124"/>
      <c r="G275" s="124"/>
      <c r="H275" s="125"/>
      <c r="I275" s="124"/>
      <c r="J275" s="127">
        <f>'FY21 w YOY comp'!K305</f>
        <v>0</v>
      </c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  <c r="U275" s="131"/>
      <c r="V275" s="131"/>
      <c r="W275" s="131"/>
      <c r="X275" s="131"/>
      <c r="Y275" s="131"/>
      <c r="Z275" s="131"/>
      <c r="AA275" s="131"/>
    </row>
    <row r="276" spans="1:27" ht="15.75" customHeight="1" x14ac:dyDescent="0.25">
      <c r="A276" s="122" t="s">
        <v>464</v>
      </c>
      <c r="B276" s="123">
        <f>61.39</f>
        <v>61.39</v>
      </c>
      <c r="C276" s="123">
        <f>222</f>
        <v>222</v>
      </c>
      <c r="D276" s="123">
        <f>62.32</f>
        <v>62.32</v>
      </c>
      <c r="E276" s="123">
        <f>216.83</f>
        <v>216.83</v>
      </c>
      <c r="F276" s="123">
        <f>91.44</f>
        <v>91.44</v>
      </c>
      <c r="G276" s="124">
        <f>225</f>
        <v>225</v>
      </c>
      <c r="H276" s="123">
        <f>78.96</f>
        <v>78.959999999999994</v>
      </c>
      <c r="I276" s="124">
        <f>(H276/11)*12</f>
        <v>86.138181818181806</v>
      </c>
      <c r="J276" s="127">
        <f>'FY21 w YOY comp'!K306</f>
        <v>150</v>
      </c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  <c r="W276" s="131"/>
      <c r="X276" s="131"/>
      <c r="Y276" s="131"/>
      <c r="Z276" s="131"/>
      <c r="AA276" s="131"/>
    </row>
    <row r="277" spans="1:27" ht="15.75" customHeight="1" x14ac:dyDescent="0.25">
      <c r="A277" s="122" t="s">
        <v>466</v>
      </c>
      <c r="B277" s="125"/>
      <c r="C277" s="123">
        <f>378.1</f>
        <v>378.1</v>
      </c>
      <c r="D277" s="123">
        <f>821.35</f>
        <v>821.35</v>
      </c>
      <c r="E277" s="123">
        <f>536.4</f>
        <v>536.4</v>
      </c>
      <c r="F277" s="123">
        <f>240.55</f>
        <v>240.55</v>
      </c>
      <c r="G277" s="124">
        <f>125</f>
        <v>125</v>
      </c>
      <c r="H277" s="123">
        <f>108.59</f>
        <v>108.59</v>
      </c>
      <c r="I277" s="124">
        <f t="shared" ref="I277:I279" si="126">H277</f>
        <v>108.59</v>
      </c>
      <c r="J277" s="127">
        <f>'FY21 w YOY comp'!K307</f>
        <v>250</v>
      </c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  <c r="U277" s="131"/>
      <c r="V277" s="131"/>
      <c r="W277" s="131"/>
      <c r="X277" s="131"/>
      <c r="Y277" s="131"/>
      <c r="Z277" s="131"/>
      <c r="AA277" s="131"/>
    </row>
    <row r="278" spans="1:27" ht="15.75" customHeight="1" x14ac:dyDescent="0.25">
      <c r="A278" s="122" t="s">
        <v>467</v>
      </c>
      <c r="B278" s="123">
        <v>175.74</v>
      </c>
      <c r="C278" s="123">
        <v>787.08</v>
      </c>
      <c r="D278" s="123">
        <v>281.07</v>
      </c>
      <c r="E278" s="123">
        <v>1208</v>
      </c>
      <c r="F278" s="123">
        <v>64.099999999999994</v>
      </c>
      <c r="G278" s="124">
        <f>200</f>
        <v>200</v>
      </c>
      <c r="H278" s="123">
        <v>59.1</v>
      </c>
      <c r="I278" s="124">
        <f t="shared" si="126"/>
        <v>59.1</v>
      </c>
      <c r="J278" s="127">
        <f>'FY21 w YOY comp'!K308</f>
        <v>500</v>
      </c>
      <c r="K278" s="131" t="s">
        <v>546</v>
      </c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  <c r="W278" s="131"/>
      <c r="X278" s="131"/>
      <c r="Y278" s="131"/>
      <c r="Z278" s="131"/>
      <c r="AA278" s="131"/>
    </row>
    <row r="279" spans="1:27" ht="15.75" customHeight="1" x14ac:dyDescent="0.25">
      <c r="A279" s="122" t="s">
        <v>469</v>
      </c>
      <c r="B279" s="125"/>
      <c r="C279" s="123">
        <f t="shared" ref="C279:F279" si="127">22.5</f>
        <v>22.5</v>
      </c>
      <c r="D279" s="123">
        <f t="shared" si="127"/>
        <v>22.5</v>
      </c>
      <c r="E279" s="123">
        <f t="shared" si="127"/>
        <v>22.5</v>
      </c>
      <c r="F279" s="123">
        <f t="shared" si="127"/>
        <v>22.5</v>
      </c>
      <c r="G279" s="124">
        <f>25</f>
        <v>25</v>
      </c>
      <c r="H279" s="123">
        <f>22.5</f>
        <v>22.5</v>
      </c>
      <c r="I279" s="124">
        <f t="shared" si="126"/>
        <v>22.5</v>
      </c>
      <c r="J279" s="127">
        <f>'FY21 w YOY comp'!K309</f>
        <v>45</v>
      </c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  <c r="U279" s="131"/>
      <c r="V279" s="131"/>
      <c r="W279" s="131"/>
      <c r="X279" s="131"/>
      <c r="Y279" s="131"/>
      <c r="Z279" s="131"/>
      <c r="AA279" s="131"/>
    </row>
    <row r="280" spans="1:27" ht="15.75" customHeight="1" x14ac:dyDescent="0.25">
      <c r="A280" s="217" t="s">
        <v>470</v>
      </c>
      <c r="B280" s="218">
        <f t="shared" ref="B280:F280" si="128">SUM(B275:B279)</f>
        <v>359.15</v>
      </c>
      <c r="C280" s="218">
        <f t="shared" si="128"/>
        <v>1409.68</v>
      </c>
      <c r="D280" s="218">
        <f t="shared" si="128"/>
        <v>1187.24</v>
      </c>
      <c r="E280" s="218">
        <f t="shared" si="128"/>
        <v>1983.73</v>
      </c>
      <c r="F280" s="218">
        <f t="shared" si="128"/>
        <v>418.59000000000003</v>
      </c>
      <c r="G280" s="218">
        <f>SUM(G276:G279)</f>
        <v>575</v>
      </c>
      <c r="H280" s="218">
        <f t="shared" ref="H280:I280" si="129">SUM(H275:H279)</f>
        <v>269.14999999999998</v>
      </c>
      <c r="I280" s="218">
        <f t="shared" si="129"/>
        <v>276.3281818181818</v>
      </c>
      <c r="J280" s="220">
        <f>'FY21 w YOY comp'!K310</f>
        <v>945</v>
      </c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4"/>
      <c r="W280" s="224"/>
      <c r="X280" s="224"/>
      <c r="Y280" s="224"/>
      <c r="Z280" s="224"/>
      <c r="AA280" s="224"/>
    </row>
    <row r="281" spans="1:27" ht="15.75" customHeight="1" x14ac:dyDescent="0.25">
      <c r="A281" s="20"/>
      <c r="B281" s="21"/>
      <c r="C281" s="21"/>
      <c r="D281" s="21"/>
      <c r="E281" s="21"/>
      <c r="F281" s="22"/>
      <c r="G281" s="22"/>
      <c r="H281" s="21"/>
      <c r="I281" s="22"/>
      <c r="J281" s="24">
        <f>'FY21 w YOY comp'!K311</f>
        <v>0</v>
      </c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hidden="1" customHeight="1" x14ac:dyDescent="0.25">
      <c r="A282" s="48" t="s">
        <v>471</v>
      </c>
      <c r="B282" s="49"/>
      <c r="C282" s="49"/>
      <c r="D282" s="49"/>
      <c r="E282" s="49"/>
      <c r="F282" s="55"/>
      <c r="G282" s="55"/>
      <c r="H282" s="49"/>
      <c r="I282" s="55"/>
      <c r="J282" s="73">
        <f>'FY21 w YOY comp'!K312</f>
        <v>0</v>
      </c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hidden="1" customHeight="1" x14ac:dyDescent="0.25">
      <c r="A283" s="48" t="s">
        <v>472</v>
      </c>
      <c r="B283" s="49"/>
      <c r="C283" s="49"/>
      <c r="D283" s="49"/>
      <c r="E283" s="49"/>
      <c r="F283" s="50">
        <f>4000</f>
        <v>4000</v>
      </c>
      <c r="G283" s="22">
        <f t="shared" ref="G283:H283" si="130">10000</f>
        <v>10000</v>
      </c>
      <c r="H283" s="50">
        <f t="shared" si="130"/>
        <v>10000</v>
      </c>
      <c r="I283" s="22">
        <f>H283+2786</f>
        <v>12786</v>
      </c>
      <c r="J283" s="73">
        <f>'FY21 w YOY comp'!K313</f>
        <v>19500</v>
      </c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hidden="1" customHeight="1" x14ac:dyDescent="0.25">
      <c r="A284" s="48" t="s">
        <v>475</v>
      </c>
      <c r="B284" s="49"/>
      <c r="C284" s="50">
        <f>343.36</f>
        <v>343.36</v>
      </c>
      <c r="D284" s="49"/>
      <c r="E284" s="49"/>
      <c r="F284" s="55"/>
      <c r="G284" s="22"/>
      <c r="H284" s="49"/>
      <c r="I284" s="55"/>
      <c r="J284" s="73">
        <f>'FY21 w YOY comp'!K314</f>
        <v>350</v>
      </c>
      <c r="K284" s="53" t="s">
        <v>477</v>
      </c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hidden="1" customHeight="1" x14ac:dyDescent="0.25">
      <c r="A285" s="48" t="s">
        <v>479</v>
      </c>
      <c r="B285" s="49"/>
      <c r="C285" s="50">
        <f>200</f>
        <v>200</v>
      </c>
      <c r="D285" s="49"/>
      <c r="E285" s="49"/>
      <c r="F285" s="55"/>
      <c r="G285" s="22">
        <f>500</f>
        <v>500</v>
      </c>
      <c r="H285" s="49">
        <f>349.15</f>
        <v>349.15</v>
      </c>
      <c r="I285" s="55">
        <f t="shared" ref="I285:I286" si="131">(H285/11)*12</f>
        <v>380.89090909090908</v>
      </c>
      <c r="J285" s="73">
        <f>'FY21 w YOY comp'!K316</f>
        <v>300</v>
      </c>
      <c r="K285" s="53" t="s">
        <v>477</v>
      </c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hidden="1" customHeight="1" x14ac:dyDescent="0.25">
      <c r="A286" s="48" t="s">
        <v>480</v>
      </c>
      <c r="B286" s="49"/>
      <c r="C286" s="50">
        <f>98</f>
        <v>98</v>
      </c>
      <c r="D286" s="50">
        <f>6.84</f>
        <v>6.84</v>
      </c>
      <c r="E286" s="49"/>
      <c r="F286" s="55"/>
      <c r="G286" s="22"/>
      <c r="H286" s="49">
        <f>11.85</f>
        <v>11.85</v>
      </c>
      <c r="I286" s="55">
        <f t="shared" si="131"/>
        <v>12.927272727272726</v>
      </c>
      <c r="J286" s="73">
        <f>'FY21 w YOY comp'!K317</f>
        <v>200</v>
      </c>
      <c r="K286" s="53" t="s">
        <v>477</v>
      </c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hidden="1" customHeight="1" x14ac:dyDescent="0.25">
      <c r="A287" s="48" t="s">
        <v>481</v>
      </c>
      <c r="B287" s="49"/>
      <c r="C287" s="50"/>
      <c r="D287" s="50"/>
      <c r="E287" s="49"/>
      <c r="F287" s="55"/>
      <c r="G287" s="22">
        <f>500</f>
        <v>500</v>
      </c>
      <c r="H287" s="49"/>
      <c r="I287" s="55"/>
      <c r="J287" s="24">
        <f>'FY21 w YOY comp'!K318</f>
        <v>0</v>
      </c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25">
      <c r="A288" s="217" t="s">
        <v>482</v>
      </c>
      <c r="B288" s="218">
        <f t="shared" ref="B288:F288" si="132">SUM(B282:B286)</f>
        <v>0</v>
      </c>
      <c r="C288" s="218">
        <f t="shared" si="132"/>
        <v>641.36</v>
      </c>
      <c r="D288" s="218">
        <f t="shared" si="132"/>
        <v>6.84</v>
      </c>
      <c r="E288" s="218">
        <f t="shared" si="132"/>
        <v>0</v>
      </c>
      <c r="F288" s="218">
        <f t="shared" si="132"/>
        <v>4000</v>
      </c>
      <c r="G288" s="218">
        <f>SUM(G283:G287)</f>
        <v>11000</v>
      </c>
      <c r="H288" s="218">
        <f t="shared" ref="H288:I288" si="133">SUM(H282:H286)</f>
        <v>10361</v>
      </c>
      <c r="I288" s="218">
        <f t="shared" si="133"/>
        <v>13179.818181818182</v>
      </c>
      <c r="J288" s="220">
        <f>'FY21 w YOY comp'!K319</f>
        <v>20350</v>
      </c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4"/>
      <c r="W288" s="224"/>
      <c r="X288" s="224"/>
      <c r="Y288" s="224"/>
      <c r="Z288" s="224"/>
      <c r="AA288" s="224"/>
    </row>
    <row r="289" spans="1:27" ht="15.75" customHeight="1" x14ac:dyDescent="0.25">
      <c r="A289" s="20"/>
      <c r="B289" s="21"/>
      <c r="C289" s="21"/>
      <c r="D289" s="21"/>
      <c r="E289" s="21"/>
      <c r="F289" s="22"/>
      <c r="G289" s="22"/>
      <c r="H289" s="21"/>
      <c r="I289" s="22"/>
      <c r="J289" s="24">
        <f>'FY21 w YOY comp'!K320</f>
        <v>0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hidden="1" customHeight="1" x14ac:dyDescent="0.25">
      <c r="A290" s="48" t="s">
        <v>483</v>
      </c>
      <c r="B290" s="49"/>
      <c r="C290" s="49"/>
      <c r="D290" s="49"/>
      <c r="E290" s="49"/>
      <c r="F290" s="55"/>
      <c r="G290" s="55"/>
      <c r="H290" s="49"/>
      <c r="I290" s="55"/>
      <c r="J290" s="73">
        <f>'FY21 w YOY comp'!K321</f>
        <v>0</v>
      </c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hidden="1" customHeight="1" x14ac:dyDescent="0.25">
      <c r="A291" s="48" t="s">
        <v>484</v>
      </c>
      <c r="B291" s="49"/>
      <c r="C291" s="49"/>
      <c r="D291" s="49"/>
      <c r="E291" s="49"/>
      <c r="F291" s="50"/>
      <c r="G291" s="22">
        <f>1000</f>
        <v>1000</v>
      </c>
      <c r="H291" s="50"/>
      <c r="I291" s="22"/>
      <c r="J291" s="24">
        <f>'FY21 w YOY comp'!K322</f>
        <v>1000</v>
      </c>
      <c r="K291" s="317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hidden="1" customHeight="1" x14ac:dyDescent="0.25">
      <c r="A292" s="48" t="s">
        <v>486</v>
      </c>
      <c r="B292" s="49"/>
      <c r="C292" s="49"/>
      <c r="D292" s="49"/>
      <c r="E292" s="49"/>
      <c r="F292" s="50">
        <f>53.97</f>
        <v>53.97</v>
      </c>
      <c r="G292" s="22">
        <f>1300</f>
        <v>1300</v>
      </c>
      <c r="H292" s="50">
        <f>53.97</f>
        <v>53.97</v>
      </c>
      <c r="I292" s="22">
        <f>H292</f>
        <v>53.97</v>
      </c>
      <c r="J292" s="24">
        <f>'FY21 w YOY comp'!K323</f>
        <v>260</v>
      </c>
      <c r="K292" s="53" t="s">
        <v>547</v>
      </c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hidden="1" customHeight="1" x14ac:dyDescent="0.25">
      <c r="A293" s="296" t="s">
        <v>488</v>
      </c>
      <c r="B293" s="49"/>
      <c r="C293" s="49"/>
      <c r="D293" s="49"/>
      <c r="E293" s="49"/>
      <c r="F293" s="50"/>
      <c r="G293" s="22">
        <f>4550</f>
        <v>4550</v>
      </c>
      <c r="H293" s="50"/>
      <c r="I293" s="55"/>
      <c r="J293" s="24">
        <f>'FY21 w YOY comp'!K324</f>
        <v>4800</v>
      </c>
      <c r="K293" s="53" t="s">
        <v>489</v>
      </c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hidden="1" customHeight="1" x14ac:dyDescent="0.25">
      <c r="A294" s="296" t="s">
        <v>490</v>
      </c>
      <c r="B294" s="49"/>
      <c r="C294" s="49"/>
      <c r="D294" s="49"/>
      <c r="E294" s="49"/>
      <c r="F294" s="50"/>
      <c r="G294" s="22">
        <f>100</f>
        <v>100</v>
      </c>
      <c r="H294" s="50"/>
      <c r="I294" s="55"/>
      <c r="J294" s="24">
        <f>'FY21 w YOY comp'!K325</f>
        <v>0</v>
      </c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hidden="1" customHeight="1" x14ac:dyDescent="0.25">
      <c r="A295" s="48" t="s">
        <v>491</v>
      </c>
      <c r="B295" s="49"/>
      <c r="C295" s="49"/>
      <c r="D295" s="49"/>
      <c r="E295" s="49"/>
      <c r="F295" s="50">
        <f>1442.07</f>
        <v>1442.07</v>
      </c>
      <c r="G295" s="22">
        <f t="shared" ref="G295:H295" si="134">1200</f>
        <v>1200</v>
      </c>
      <c r="H295" s="50">
        <f t="shared" si="134"/>
        <v>1200</v>
      </c>
      <c r="I295" s="22">
        <f>H295</f>
        <v>1200</v>
      </c>
      <c r="J295" s="24">
        <f>'FY21 w YOY comp'!K326</f>
        <v>1800</v>
      </c>
      <c r="K295" s="53" t="s">
        <v>492</v>
      </c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hidden="1" customHeight="1" x14ac:dyDescent="0.25">
      <c r="A296" s="48" t="s">
        <v>493</v>
      </c>
      <c r="B296" s="49"/>
      <c r="C296" s="49"/>
      <c r="D296" s="49"/>
      <c r="E296" s="49"/>
      <c r="F296" s="50">
        <f>1400</f>
        <v>1400</v>
      </c>
      <c r="G296" s="22"/>
      <c r="H296" s="50">
        <f>1493.9</f>
        <v>1493.9</v>
      </c>
      <c r="I296" s="22">
        <f>(H296/11)*12</f>
        <v>1629.7090909090909</v>
      </c>
      <c r="J296" s="24">
        <f>'FY21 w YOY comp'!K327</f>
        <v>2000</v>
      </c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25">
      <c r="A297" s="217" t="s">
        <v>494</v>
      </c>
      <c r="B297" s="218">
        <f t="shared" ref="B297:F297" si="135">SUM(B290:B296)</f>
        <v>0</v>
      </c>
      <c r="C297" s="218">
        <f t="shared" si="135"/>
        <v>0</v>
      </c>
      <c r="D297" s="218">
        <f t="shared" si="135"/>
        <v>0</v>
      </c>
      <c r="E297" s="218">
        <f t="shared" si="135"/>
        <v>0</v>
      </c>
      <c r="F297" s="218">
        <f t="shared" si="135"/>
        <v>2896.04</v>
      </c>
      <c r="G297" s="218">
        <f>SUM(G291:G296)</f>
        <v>8150</v>
      </c>
      <c r="H297" s="218">
        <f t="shared" ref="H297:I297" si="136">SUM(H290:H296)</f>
        <v>2747.87</v>
      </c>
      <c r="I297" s="218">
        <f t="shared" si="136"/>
        <v>2883.679090909091</v>
      </c>
      <c r="J297" s="220">
        <f>'FY21 w YOY comp'!K328</f>
        <v>9860</v>
      </c>
      <c r="K297" s="224"/>
      <c r="L297" s="224"/>
      <c r="M297" s="224"/>
      <c r="N297" s="224"/>
      <c r="O297" s="224"/>
      <c r="P297" s="224"/>
      <c r="Q297" s="224"/>
      <c r="R297" s="224"/>
      <c r="S297" s="224"/>
      <c r="T297" s="224"/>
      <c r="U297" s="224"/>
      <c r="V297" s="224"/>
      <c r="W297" s="224"/>
      <c r="X297" s="224"/>
      <c r="Y297" s="224"/>
      <c r="Z297" s="224"/>
      <c r="AA297" s="224"/>
    </row>
    <row r="298" spans="1:27" ht="15.75" customHeight="1" x14ac:dyDescent="0.25">
      <c r="A298" s="20"/>
      <c r="B298" s="22"/>
      <c r="C298" s="22"/>
      <c r="D298" s="22"/>
      <c r="E298" s="22"/>
      <c r="F298" s="22"/>
      <c r="G298" s="22"/>
      <c r="H298" s="22"/>
      <c r="I298" s="22"/>
      <c r="J298" s="24">
        <f>'FY21 w YOY comp'!K329</f>
        <v>0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5">
      <c r="A299" s="297" t="s">
        <v>495</v>
      </c>
      <c r="B299" s="298" t="e">
        <f t="shared" ref="B299:I299" si="137">B102+B143+B181+B192+B200+B217+B237+B273+B280+B288+B297</f>
        <v>#REF!</v>
      </c>
      <c r="C299" s="298" t="e">
        <f t="shared" si="137"/>
        <v>#REF!</v>
      </c>
      <c r="D299" s="298" t="e">
        <f t="shared" si="137"/>
        <v>#REF!</v>
      </c>
      <c r="E299" s="298">
        <f t="shared" si="137"/>
        <v>331384.13</v>
      </c>
      <c r="F299" s="298" t="e">
        <f t="shared" si="137"/>
        <v>#REF!</v>
      </c>
      <c r="G299" s="298">
        <f t="shared" si="137"/>
        <v>333832.60000000003</v>
      </c>
      <c r="H299" s="298" t="e">
        <f t="shared" si="137"/>
        <v>#REF!</v>
      </c>
      <c r="I299" s="298">
        <f t="shared" si="137"/>
        <v>299333.10001581028</v>
      </c>
      <c r="J299" s="300">
        <f>'FY21 w YOY comp'!K330</f>
        <v>405782.05221413338</v>
      </c>
      <c r="K299" s="301"/>
      <c r="L299" s="301"/>
      <c r="M299" s="301"/>
      <c r="N299" s="301"/>
      <c r="O299" s="301"/>
      <c r="P299" s="301"/>
      <c r="Q299" s="301"/>
      <c r="R299" s="301"/>
      <c r="S299" s="301"/>
      <c r="T299" s="301"/>
      <c r="U299" s="301"/>
      <c r="V299" s="301"/>
      <c r="W299" s="301"/>
      <c r="X299" s="301"/>
      <c r="Y299" s="301"/>
      <c r="Z299" s="301"/>
      <c r="AA299" s="301"/>
    </row>
    <row r="300" spans="1:27" ht="15.75" customHeight="1" x14ac:dyDescent="0.25">
      <c r="A300" s="20"/>
      <c r="B300" s="116"/>
      <c r="C300" s="116"/>
      <c r="D300" s="116"/>
      <c r="E300" s="116"/>
      <c r="F300" s="116"/>
      <c r="G300" s="22"/>
      <c r="H300" s="116"/>
      <c r="I300" s="22"/>
      <c r="J300" s="24">
        <f>'FY21 w YOY comp'!K331</f>
        <v>0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5">
      <c r="A301" s="302" t="s">
        <v>496</v>
      </c>
      <c r="B301" s="303" t="e">
        <f t="shared" ref="B301:I301" si="138">(B45)-(B299)</f>
        <v>#REF!</v>
      </c>
      <c r="C301" s="303" t="e">
        <f t="shared" si="138"/>
        <v>#REF!</v>
      </c>
      <c r="D301" s="303" t="e">
        <f t="shared" si="138"/>
        <v>#REF!</v>
      </c>
      <c r="E301" s="303">
        <f t="shared" si="138"/>
        <v>-11325.139999999956</v>
      </c>
      <c r="F301" s="303" t="e">
        <f t="shared" si="138"/>
        <v>#REF!</v>
      </c>
      <c r="G301" s="303">
        <f t="shared" si="138"/>
        <v>1050.3999999999651</v>
      </c>
      <c r="H301" s="303" t="e">
        <f t="shared" si="138"/>
        <v>#REF!</v>
      </c>
      <c r="I301" s="303">
        <f t="shared" si="138"/>
        <v>34253.589984189719</v>
      </c>
      <c r="J301" s="305">
        <f>'FY21 w YOY comp'!K332</f>
        <v>0.10791919997427613</v>
      </c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</row>
    <row r="302" spans="1:27" ht="15.75" customHeight="1" x14ac:dyDescent="0.25">
      <c r="A302" s="20"/>
      <c r="B302" s="306"/>
      <c r="C302" s="306"/>
      <c r="D302" s="306"/>
      <c r="E302" s="306"/>
      <c r="F302" s="1"/>
      <c r="G302" s="1"/>
      <c r="H302" s="30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rintOptions horizontalCentered="1"/>
  <pageMargins left="0.7" right="0.7" top="0.75" bottom="0.75" header="0" footer="0"/>
  <pageSetup fitToHeight="0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625" defaultRowHeight="15" customHeight="1" x14ac:dyDescent="0.2"/>
  <cols>
    <col min="1" max="1" width="41" customWidth="1"/>
    <col min="2" max="6" width="10.75" hidden="1" customWidth="1"/>
    <col min="7" max="7" width="12.375" hidden="1" customWidth="1"/>
    <col min="8" max="8" width="14.75" customWidth="1"/>
    <col min="9" max="9" width="15.375" customWidth="1"/>
    <col min="10" max="10" width="13.125" customWidth="1"/>
    <col min="11" max="11" width="9.375" customWidth="1"/>
    <col min="12" max="12" width="9.75" customWidth="1"/>
    <col min="13" max="13" width="7.625" customWidth="1"/>
    <col min="14" max="14" width="9.75" customWidth="1"/>
    <col min="15" max="27" width="7.625" customWidth="1"/>
  </cols>
  <sheetData>
    <row r="1" spans="1:27" ht="31.5" x14ac:dyDescent="0.25">
      <c r="A1" s="1">
        <f>'FY21 w YOY comp'!A1</f>
        <v>0</v>
      </c>
      <c r="B1" s="1">
        <f>'FY21 w YOY comp'!B1</f>
        <v>0</v>
      </c>
      <c r="C1" s="1">
        <f>'FY21 w YOY comp'!C1</f>
        <v>0</v>
      </c>
      <c r="D1" s="1">
        <f>'FY21 w YOY comp'!D1</f>
        <v>0</v>
      </c>
      <c r="E1" s="1">
        <f>'FY21 w YOY comp'!E1</f>
        <v>0</v>
      </c>
      <c r="F1" s="2" t="str">
        <f>'FY21 w YOY comp'!F1</f>
        <v>Trailing 12-month</v>
      </c>
      <c r="G1" s="3" t="str">
        <f>'FY21 w YOY comp'!G1</f>
        <v>YTD</v>
      </c>
      <c r="H1" s="5" t="str">
        <f>'FY21 w YOY comp'!I1</f>
        <v>BUDGET FY20 (Rev mid-year)</v>
      </c>
      <c r="I1" s="4" t="str">
        <f>'FY21 w YOY comp'!H1</f>
        <v>ACTUALS FY20</v>
      </c>
      <c r="J1" s="7" t="str">
        <f>'FY21 w YOY comp'!K1</f>
        <v>BUDGET FY21</v>
      </c>
      <c r="K1" s="1">
        <f>'FY21 w YOY comp'!O1</f>
        <v>0</v>
      </c>
      <c r="L1" s="1">
        <f>'FY21 w YOY comp'!P1</f>
        <v>0</v>
      </c>
      <c r="M1" s="1">
        <f>'FY21 w YOY comp'!Q1</f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1.5" hidden="1" x14ac:dyDescent="0.25">
      <c r="A2" s="11">
        <f>'FY21 w YOY comp'!A2</f>
        <v>0</v>
      </c>
      <c r="B2" s="12" t="str">
        <f>'FY21 w YOY comp'!B2</f>
        <v>Feb 2016 - Jan 2017</v>
      </c>
      <c r="C2" s="12" t="str">
        <f>'FY21 w YOY comp'!C2</f>
        <v>Feb 2017 - Jan 2018</v>
      </c>
      <c r="D2" s="12" t="str">
        <f>'FY21 w YOY comp'!D2</f>
        <v>Feb 2018 - Jan 2019</v>
      </c>
      <c r="E2" s="12" t="str">
        <f>'FY21 w YOY comp'!E2</f>
        <v>Feb 2019 - Jan 2020</v>
      </c>
      <c r="F2" s="12" t="str">
        <f>'FY21 w YOY comp'!F2</f>
        <v>Oct 2019 - Sep 2020</v>
      </c>
      <c r="G2" s="12" t="str">
        <f>'FY21 w YOY comp'!G2</f>
        <v>Feb 1, 2020 - Jan 31, 2021</v>
      </c>
      <c r="H2" s="13" t="str">
        <f>'FY21 w YOY comp'!I2</f>
        <v>Feb 2020 -     Jan 2021</v>
      </c>
      <c r="I2" s="12" t="str">
        <f>'FY21 w YOY comp'!H2</f>
        <v>Feb 2020 - Jan 2021</v>
      </c>
      <c r="J2" s="15" t="str">
        <f>'FY21 w YOY comp'!K2</f>
        <v>Feb 2021 -      Jan 2022</v>
      </c>
      <c r="K2" s="19" t="str">
        <f>'FY21 w YOY comp'!O2</f>
        <v>Notes</v>
      </c>
      <c r="L2" s="1">
        <f>'FY21 w YOY comp'!P2</f>
        <v>0</v>
      </c>
      <c r="M2" s="1">
        <f>'FY21 w YOY comp'!Q2</f>
        <v>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x14ac:dyDescent="0.25">
      <c r="A3" s="20" t="str">
        <f>'FY21 w YOY comp'!A3</f>
        <v>Income</v>
      </c>
      <c r="B3" s="21">
        <f>'FY21 w YOY comp'!B3</f>
        <v>0</v>
      </c>
      <c r="C3" s="21">
        <f>'FY21 w YOY comp'!C3</f>
        <v>0</v>
      </c>
      <c r="D3" s="21">
        <f>'FY21 w YOY comp'!D3</f>
        <v>0</v>
      </c>
      <c r="E3" s="21">
        <f>'FY21 w YOY comp'!E3</f>
        <v>0</v>
      </c>
      <c r="F3" s="22">
        <f>'FY21 w YOY comp'!F3</f>
        <v>0</v>
      </c>
      <c r="G3" s="21">
        <f>'FY21 w YOY comp'!G3</f>
        <v>0</v>
      </c>
      <c r="H3" s="22">
        <f>'FY21 w YOY comp'!I3</f>
        <v>0</v>
      </c>
      <c r="I3" s="22">
        <f>'FY21 w YOY comp'!H3</f>
        <v>0</v>
      </c>
      <c r="J3" s="24">
        <f>'FY21 w YOY comp'!K3</f>
        <v>0</v>
      </c>
      <c r="K3" s="1">
        <f>'FY21 w YOY comp'!O3</f>
        <v>0</v>
      </c>
      <c r="L3" s="1">
        <f>'FY21 w YOY comp'!P3</f>
        <v>0</v>
      </c>
      <c r="M3" s="1">
        <f>'FY21 w YOY comp'!Q3</f>
        <v>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x14ac:dyDescent="0.25">
      <c r="A4" s="27" t="str">
        <f>'FY21 w YOY comp'!A4</f>
        <v xml:space="preserve">   1375  Prior Year Surplus</v>
      </c>
      <c r="B4" s="28">
        <f>'FY21 w YOY comp'!B4</f>
        <v>0</v>
      </c>
      <c r="C4" s="28">
        <f>'FY21 w YOY comp'!C4</f>
        <v>0</v>
      </c>
      <c r="D4" s="28">
        <f>'FY21 w YOY comp'!D4</f>
        <v>0</v>
      </c>
      <c r="E4" s="28">
        <f>'FY21 w YOY comp'!E4</f>
        <v>0</v>
      </c>
      <c r="F4" s="28">
        <f>'FY21 w YOY comp'!F4</f>
        <v>0</v>
      </c>
      <c r="G4" s="28">
        <f>'FY21 w YOY comp'!G4</f>
        <v>0</v>
      </c>
      <c r="H4" s="29">
        <f>'FY21 w YOY comp'!I4</f>
        <v>0</v>
      </c>
      <c r="I4" s="28">
        <f>'FY21 w YOY comp'!H4</f>
        <v>0</v>
      </c>
      <c r="J4" s="31">
        <f>'FY21 w YOY comp'!K4</f>
        <v>33757</v>
      </c>
      <c r="K4" s="39" t="str">
        <f>'FY21 w YOY comp'!O4</f>
        <v>2021 Surplus</v>
      </c>
      <c r="L4" s="36">
        <f>'FY21 w YOY comp'!P4</f>
        <v>0</v>
      </c>
      <c r="M4" s="36">
        <f>'FY21 w YOY comp'!Q4</f>
        <v>0</v>
      </c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</row>
    <row r="5" spans="1:27" ht="15.75" x14ac:dyDescent="0.25">
      <c r="A5" s="27" t="str">
        <f>'FY21 w YOY comp'!A5</f>
        <v xml:space="preserve">   1400 General Congregational</v>
      </c>
      <c r="B5" s="29">
        <f>'FY21 w YOY comp'!B5</f>
        <v>236200.04</v>
      </c>
      <c r="C5" s="29">
        <f>'FY21 w YOY comp'!C5</f>
        <v>246451.31</v>
      </c>
      <c r="D5" s="29">
        <f>'FY21 w YOY comp'!D5</f>
        <v>259618.66</v>
      </c>
      <c r="E5" s="29">
        <f>'FY21 w YOY comp'!E5</f>
        <v>255282.23</v>
      </c>
      <c r="F5" s="29">
        <f>'FY21 w YOY comp'!F5</f>
        <v>249416.3</v>
      </c>
      <c r="G5" s="29">
        <f>'FY21 w YOY comp'!G5</f>
        <v>248643.19</v>
      </c>
      <c r="H5" s="29">
        <f>'FY21 w YOY comp'!I5</f>
        <v>262600</v>
      </c>
      <c r="I5" s="29">
        <f>'FY21 w YOY comp'!H5</f>
        <v>248643.19</v>
      </c>
      <c r="J5" s="31">
        <f>'FY21 w YOY comp'!K5</f>
        <v>261904.16013333335</v>
      </c>
      <c r="K5" s="39" t="str">
        <f>'FY21 w YOY comp'!O5</f>
        <v>(8 months @ 8% increase over FY20 projected 12-month) for the budget, Feb-May is FY20 Actuals/12, June-Jan is FY20 Actuals*1.08/12; pre-paid giving divided evenly among 12 months and added to the monthly totals ($18464.24/12 = $1538.69 added to each month). 8% increase closely matches pledges from Pathways to Generosity.</v>
      </c>
      <c r="L5" s="36">
        <f>'FY21 w YOY comp'!P5</f>
        <v>0</v>
      </c>
      <c r="M5" s="36">
        <f>'FY21 w YOY comp'!Q5</f>
        <v>0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</row>
    <row r="6" spans="1:27" ht="15.75" customHeight="1" x14ac:dyDescent="0.25">
      <c r="A6" s="27" t="str">
        <f>'FY21 w YOY comp'!A6</f>
        <v xml:space="preserve">   1650 PPP Funds</v>
      </c>
      <c r="B6" s="40">
        <f>'FY21 w YOY comp'!B6</f>
        <v>0</v>
      </c>
      <c r="C6" s="40">
        <f>'FY21 w YOY comp'!C6</f>
        <v>0</v>
      </c>
      <c r="D6" s="40">
        <f>'FY21 w YOY comp'!D6</f>
        <v>0</v>
      </c>
      <c r="E6" s="40">
        <f>'FY21 w YOY comp'!E6</f>
        <v>0</v>
      </c>
      <c r="F6" s="41">
        <f>'FY21 w YOY comp'!F6</f>
        <v>30400</v>
      </c>
      <c r="G6" s="41">
        <f>'FY21 w YOY comp'!G6</f>
        <v>30400</v>
      </c>
      <c r="H6" s="42">
        <f>'FY21 w YOY comp'!I6</f>
        <v>0</v>
      </c>
      <c r="I6" s="42">
        <f>'FY21 w YOY comp'!H6</f>
        <v>30400</v>
      </c>
      <c r="J6" s="37">
        <f>'FY21 w YOY comp'!K6</f>
        <v>0</v>
      </c>
      <c r="K6" s="36">
        <f>'FY21 w YOY comp'!O6</f>
        <v>0</v>
      </c>
      <c r="L6" s="36">
        <f>'FY21 w YOY comp'!P6</f>
        <v>0</v>
      </c>
      <c r="M6" s="36">
        <f>'FY21 w YOY comp'!Q6</f>
        <v>0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</row>
    <row r="7" spans="1:27" ht="15.75" hidden="1" customHeight="1" x14ac:dyDescent="0.25">
      <c r="A7" s="46" t="str">
        <f>'FY21 w YOY comp'!A7</f>
        <v xml:space="preserve">   1700 Other Income</v>
      </c>
      <c r="B7" s="47">
        <f>'FY21 w YOY comp'!B7</f>
        <v>250.63</v>
      </c>
      <c r="C7" s="47">
        <f>'FY21 w YOY comp'!C7</f>
        <v>1432.5</v>
      </c>
      <c r="D7" s="47">
        <f>'FY21 w YOY comp'!D7</f>
        <v>1540.67</v>
      </c>
      <c r="E7" s="47">
        <f>'FY21 w YOY comp'!E7</f>
        <v>100.1</v>
      </c>
      <c r="F7" s="47">
        <f>'FY21 w YOY comp'!F7</f>
        <v>0.04</v>
      </c>
      <c r="G7" s="21">
        <f>'FY21 w YOY comp'!G7</f>
        <v>0</v>
      </c>
      <c r="H7" s="22">
        <f>'FY21 w YOY comp'!I7</f>
        <v>0</v>
      </c>
      <c r="I7" s="22">
        <f>'FY21 w YOY comp'!H7</f>
        <v>0</v>
      </c>
      <c r="J7" s="24">
        <f>'FY21 w YOY comp'!K7</f>
        <v>0</v>
      </c>
      <c r="K7" s="1">
        <f>'FY21 w YOY comp'!O7</f>
        <v>0</v>
      </c>
      <c r="L7" s="1">
        <f>'FY21 w YOY comp'!P7</f>
        <v>0</v>
      </c>
      <c r="M7" s="1">
        <f>'FY21 w YOY comp'!Q7</f>
        <v>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hidden="1" customHeight="1" x14ac:dyDescent="0.25">
      <c r="A8" s="48" t="str">
        <f>'FY21 w YOY comp'!A8</f>
        <v xml:space="preserve">      1705 Credit Card Rewards/Refunds</v>
      </c>
      <c r="B8" s="49">
        <f>'FY21 w YOY comp'!B8</f>
        <v>0</v>
      </c>
      <c r="C8" s="50">
        <f>'FY21 w YOY comp'!C8</f>
        <v>354.09</v>
      </c>
      <c r="D8" s="49">
        <f>'FY21 w YOY comp'!D8</f>
        <v>0</v>
      </c>
      <c r="E8" s="50">
        <f>'FY21 w YOY comp'!E8</f>
        <v>884.09</v>
      </c>
      <c r="F8" s="50">
        <f>'FY21 w YOY comp'!F8</f>
        <v>911.49</v>
      </c>
      <c r="G8" s="50">
        <f>'FY21 w YOY comp'!G8</f>
        <v>441.56</v>
      </c>
      <c r="H8" s="50">
        <f>'FY21 w YOY comp'!I8</f>
        <v>850</v>
      </c>
      <c r="I8" s="50">
        <f>'FY21 w YOY comp'!H8</f>
        <v>441.56</v>
      </c>
      <c r="J8" s="24">
        <f>'FY21 w YOY comp'!K8</f>
        <v>500</v>
      </c>
      <c r="K8" s="53">
        <f>'FY21 w YOY comp'!O8</f>
        <v>0</v>
      </c>
      <c r="L8" s="53">
        <f>'FY21 w YOY comp'!P8</f>
        <v>0</v>
      </c>
      <c r="M8" s="53">
        <f>'FY21 w YOY comp'!Q8</f>
        <v>0</v>
      </c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ht="15.75" hidden="1" customHeight="1" x14ac:dyDescent="0.25">
      <c r="A9" s="48" t="str">
        <f>'FY21 w YOY comp'!A9</f>
        <v xml:space="preserve">      1710 Coffee</v>
      </c>
      <c r="B9" s="50">
        <f>'FY21 w YOY comp'!B9</f>
        <v>-143.88999999999999</v>
      </c>
      <c r="C9" s="49">
        <f>'FY21 w YOY comp'!C9</f>
        <v>0</v>
      </c>
      <c r="D9" s="50">
        <f>'FY21 w YOY comp'!D9</f>
        <v>208.76</v>
      </c>
      <c r="E9" s="50">
        <f>'FY21 w YOY comp'!E9</f>
        <v>260</v>
      </c>
      <c r="F9" s="50">
        <f>'FY21 w YOY comp'!F9</f>
        <v>52</v>
      </c>
      <c r="G9" s="49">
        <f>'FY21 w YOY comp'!G9</f>
        <v>0</v>
      </c>
      <c r="H9" s="50">
        <f>'FY21 w YOY comp'!I9</f>
        <v>208</v>
      </c>
      <c r="I9" s="50">
        <f>'FY21 w YOY comp'!H9</f>
        <v>0</v>
      </c>
      <c r="J9" s="24">
        <f>'FY21 w YOY comp'!K9</f>
        <v>250</v>
      </c>
      <c r="K9" s="53" t="str">
        <f>'FY21 w YOY comp'!O9</f>
        <v>tied to expense</v>
      </c>
      <c r="L9" s="53">
        <f>'FY21 w YOY comp'!P9</f>
        <v>0</v>
      </c>
      <c r="M9" s="53">
        <f>'FY21 w YOY comp'!Q9</f>
        <v>0</v>
      </c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ht="15.75" hidden="1" customHeight="1" x14ac:dyDescent="0.25">
      <c r="A10" s="48" t="str">
        <f>'FY21 w YOY comp'!A10</f>
        <v xml:space="preserve">      1740 Thrift Shop</v>
      </c>
      <c r="B10" s="50">
        <f>'FY21 w YOY comp'!B10</f>
        <v>35482.06</v>
      </c>
      <c r="C10" s="50">
        <f>'FY21 w YOY comp'!C10</f>
        <v>34395.410000000003</v>
      </c>
      <c r="D10" s="50">
        <f>'FY21 w YOY comp'!D10</f>
        <v>39807.35</v>
      </c>
      <c r="E10" s="50">
        <f>'FY21 w YOY comp'!E10</f>
        <v>47927.31</v>
      </c>
      <c r="F10" s="50">
        <f>'FY21 w YOY comp'!F10</f>
        <v>33790.879999999997</v>
      </c>
      <c r="G10" s="50">
        <f>'FY21 w YOY comp'!G10</f>
        <v>34778.17</v>
      </c>
      <c r="H10" s="50">
        <f>'FY21 w YOY comp'!I10</f>
        <v>55000</v>
      </c>
      <c r="I10" s="50">
        <f>'FY21 w YOY comp'!H10</f>
        <v>34778.17</v>
      </c>
      <c r="J10" s="24">
        <f>'FY21 w YOY comp'!K10</f>
        <v>52000</v>
      </c>
      <c r="K10" s="53" t="str">
        <f>'FY21 w YOY comp'!O10</f>
        <v>averaging about $900/weekend; revisit after Nov. &amp; Dec.</v>
      </c>
      <c r="L10" s="53">
        <f>'FY21 w YOY comp'!P10</f>
        <v>0</v>
      </c>
      <c r="M10" s="53">
        <f>'FY21 w YOY comp'!Q10</f>
        <v>0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ht="15.75" hidden="1" customHeight="1" x14ac:dyDescent="0.25">
      <c r="A11" s="48" t="str">
        <f>'FY21 w YOY comp'!A11</f>
        <v xml:space="preserve">      1750 Online Proceeds</v>
      </c>
      <c r="B11" s="50">
        <f>'FY21 w YOY comp'!B11</f>
        <v>2370.23</v>
      </c>
      <c r="C11" s="50">
        <f>'FY21 w YOY comp'!C11</f>
        <v>1847.19</v>
      </c>
      <c r="D11" s="50">
        <f>'FY21 w YOY comp'!D11</f>
        <v>1456.59</v>
      </c>
      <c r="E11" s="50">
        <f>'FY21 w YOY comp'!E11</f>
        <v>1803.81</v>
      </c>
      <c r="F11" s="50">
        <f>'FY21 w YOY comp'!F11</f>
        <v>1867.21</v>
      </c>
      <c r="G11" s="50">
        <f>'FY21 w YOY comp'!G11</f>
        <v>1270.3900000000001</v>
      </c>
      <c r="H11" s="50">
        <f>'FY21 w YOY comp'!I11</f>
        <v>2100</v>
      </c>
      <c r="I11" s="50">
        <f>'FY21 w YOY comp'!H11</f>
        <v>1270.3900000000001</v>
      </c>
      <c r="J11" s="24">
        <f>'FY21 w YOY comp'!K11</f>
        <v>1500</v>
      </c>
      <c r="K11" s="53" t="str">
        <f>'FY21 w YOY comp'!O11</f>
        <v>profit from Scrip, interest on savings account, facebook, Amazonsmile, etc.</v>
      </c>
      <c r="L11" s="53">
        <f>'FY21 w YOY comp'!P11</f>
        <v>0</v>
      </c>
      <c r="M11" s="53">
        <f>'FY21 w YOY comp'!Q11</f>
        <v>0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ht="15.75" hidden="1" customHeight="1" x14ac:dyDescent="0.25">
      <c r="A12" s="48" t="str">
        <f>'FY21 w YOY comp'!A12</f>
        <v xml:space="preserve">      1760 Special Donations (deleted)</v>
      </c>
      <c r="B12" s="50">
        <f>'FY21 w YOY comp'!B12</f>
        <v>10000</v>
      </c>
      <c r="C12" s="49">
        <f>'FY21 w YOY comp'!C12</f>
        <v>0</v>
      </c>
      <c r="D12" s="49">
        <f>'FY21 w YOY comp'!D12</f>
        <v>0</v>
      </c>
      <c r="E12" s="49">
        <f>'FY21 w YOY comp'!E12</f>
        <v>0</v>
      </c>
      <c r="F12" s="55">
        <f>'FY21 w YOY comp'!F12</f>
        <v>0</v>
      </c>
      <c r="G12" s="49">
        <f>'FY21 w YOY comp'!G12</f>
        <v>0</v>
      </c>
      <c r="H12" s="50">
        <f>'FY21 w YOY comp'!I12</f>
        <v>0</v>
      </c>
      <c r="I12" s="50">
        <f>'FY21 w YOY comp'!H12</f>
        <v>0</v>
      </c>
      <c r="J12" s="24">
        <f>'FY21 w YOY comp'!K12</f>
        <v>0</v>
      </c>
      <c r="K12" s="56" t="str">
        <f>'FY21 w YOY comp'!O12</f>
        <v>What is this again?</v>
      </c>
      <c r="L12" s="53">
        <f>'FY21 w YOY comp'!P12</f>
        <v>0</v>
      </c>
      <c r="M12" s="53">
        <f>'FY21 w YOY comp'!Q12</f>
        <v>0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ht="15.75" hidden="1" customHeight="1" x14ac:dyDescent="0.25">
      <c r="A13" s="48" t="str">
        <f>'FY21 w YOY comp'!A13</f>
        <v xml:space="preserve">      1765 Thrivent Funds</v>
      </c>
      <c r="B13" s="49">
        <f>'FY21 w YOY comp'!B13</f>
        <v>0</v>
      </c>
      <c r="C13" s="49">
        <f>'FY21 w YOY comp'!C13</f>
        <v>0</v>
      </c>
      <c r="D13" s="49">
        <f>'FY21 w YOY comp'!D13</f>
        <v>0</v>
      </c>
      <c r="E13" s="49">
        <f>'FY21 w YOY comp'!E13</f>
        <v>0</v>
      </c>
      <c r="F13" s="50">
        <f>'FY21 w YOY comp'!F13</f>
        <v>132</v>
      </c>
      <c r="G13" s="50">
        <f>'FY21 w YOY comp'!G13</f>
        <v>132</v>
      </c>
      <c r="H13" s="50">
        <f>'FY21 w YOY comp'!I13</f>
        <v>400</v>
      </c>
      <c r="I13" s="50">
        <f>'FY21 w YOY comp'!H13</f>
        <v>132</v>
      </c>
      <c r="J13" s="24">
        <f>'FY21 w YOY comp'!K13</f>
        <v>120</v>
      </c>
      <c r="K13" s="53" t="str">
        <f>'FY21 w YOY comp'!O13</f>
        <v>Lutheran insurance company - designated funds from congregant's annuity earnings, interest, etc to come to use</v>
      </c>
      <c r="L13" s="53">
        <f>'FY21 w YOY comp'!P13</f>
        <v>0</v>
      </c>
      <c r="M13" s="53">
        <f>'FY21 w YOY comp'!Q13</f>
        <v>0</v>
      </c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ht="15.75" hidden="1" customHeight="1" x14ac:dyDescent="0.25">
      <c r="A14" s="48" t="str">
        <f>'FY21 w YOY comp'!A14</f>
        <v xml:space="preserve">      1770 CC Payments from Savings to Op Acct</v>
      </c>
      <c r="B14" s="50">
        <f>'FY21 w YOY comp'!B14</f>
        <v>-484.62</v>
      </c>
      <c r="C14" s="50">
        <f>'FY21 w YOY comp'!C14</f>
        <v>-18608.29</v>
      </c>
      <c r="D14" s="50">
        <f>'FY21 w YOY comp'!D14</f>
        <v>-2909.46</v>
      </c>
      <c r="E14" s="49">
        <f>'FY21 w YOY comp'!E14</f>
        <v>0</v>
      </c>
      <c r="F14" s="55">
        <f>'FY21 w YOY comp'!F14</f>
        <v>0</v>
      </c>
      <c r="G14" s="49">
        <f>'FY21 w YOY comp'!G14</f>
        <v>0</v>
      </c>
      <c r="H14" s="59">
        <f>'FY21 w YOY comp'!I14</f>
        <v>0</v>
      </c>
      <c r="I14" s="55">
        <f>'FY21 w YOY comp'!H14</f>
        <v>0</v>
      </c>
      <c r="J14" s="61">
        <f>'FY21 w YOY comp'!K14</f>
        <v>0</v>
      </c>
      <c r="K14" s="53">
        <f>'FY21 w YOY comp'!O14</f>
        <v>0</v>
      </c>
      <c r="L14" s="53">
        <f>'FY21 w YOY comp'!P14</f>
        <v>0</v>
      </c>
      <c r="M14" s="53">
        <f>'FY21 w YOY comp'!Q14</f>
        <v>0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ht="15.75" customHeight="1" x14ac:dyDescent="0.25">
      <c r="A15" s="27" t="str">
        <f>'FY21 w YOY comp'!A15</f>
        <v xml:space="preserve">   Total 1700 Other Income</v>
      </c>
      <c r="B15" s="65">
        <f>'FY21 w YOY comp'!B15</f>
        <v>47474.409999999996</v>
      </c>
      <c r="C15" s="65">
        <f>'FY21 w YOY comp'!C15</f>
        <v>19420.900000000001</v>
      </c>
      <c r="D15" s="65">
        <f>'FY21 w YOY comp'!D15</f>
        <v>40103.909999999996</v>
      </c>
      <c r="E15" s="65">
        <f>'FY21 w YOY comp'!E15</f>
        <v>50975.31</v>
      </c>
      <c r="F15" s="65">
        <f>'FY21 w YOY comp'!F15</f>
        <v>36753.619999999995</v>
      </c>
      <c r="G15" s="65">
        <f>'FY21 w YOY comp'!G15</f>
        <v>36622.119999999995</v>
      </c>
      <c r="H15" s="65">
        <f>'FY21 w YOY comp'!I15</f>
        <v>58558</v>
      </c>
      <c r="I15" s="65">
        <f>'FY21 w YOY comp'!H15</f>
        <v>36622.119999999995</v>
      </c>
      <c r="J15" s="67">
        <f>'FY21 w YOY comp'!K15</f>
        <v>54370</v>
      </c>
      <c r="K15" s="36">
        <f>'FY21 w YOY comp'!O15</f>
        <v>0</v>
      </c>
      <c r="L15" s="36">
        <f>'FY21 w YOY comp'!P15</f>
        <v>0</v>
      </c>
      <c r="M15" s="36">
        <f>'FY21 w YOY comp'!Q15</f>
        <v>0</v>
      </c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</row>
    <row r="16" spans="1:27" ht="15.75" hidden="1" customHeight="1" x14ac:dyDescent="0.25">
      <c r="A16" s="48" t="str">
        <f>'FY21 w YOY comp'!A16</f>
        <v xml:space="preserve">   1800 Designated Giving</v>
      </c>
      <c r="B16" s="49">
        <f>'FY21 w YOY comp'!B16</f>
        <v>0</v>
      </c>
      <c r="C16" s="49">
        <f>'FY21 w YOY comp'!C16</f>
        <v>0</v>
      </c>
      <c r="D16" s="49">
        <f>'FY21 w YOY comp'!D16</f>
        <v>0</v>
      </c>
      <c r="E16" s="49">
        <f>'FY21 w YOY comp'!E16</f>
        <v>0</v>
      </c>
      <c r="F16" s="55">
        <f>'FY21 w YOY comp'!F16</f>
        <v>0</v>
      </c>
      <c r="G16" s="49">
        <f>'FY21 w YOY comp'!G16</f>
        <v>0</v>
      </c>
      <c r="H16" s="22">
        <f>'FY21 w YOY comp'!I16</f>
        <v>0</v>
      </c>
      <c r="I16" s="55">
        <f>'FY21 w YOY comp'!H16</f>
        <v>0</v>
      </c>
      <c r="J16" s="24">
        <f>'FY21 w YOY comp'!K16</f>
        <v>0</v>
      </c>
      <c r="K16" s="53">
        <f>'FY21 w YOY comp'!O16</f>
        <v>0</v>
      </c>
      <c r="L16" s="53">
        <f>'FY21 w YOY comp'!P16</f>
        <v>0</v>
      </c>
      <c r="M16" s="53">
        <f>'FY21 w YOY comp'!Q16</f>
        <v>0</v>
      </c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15.75" hidden="1" customHeight="1" x14ac:dyDescent="0.25">
      <c r="A17" s="48" t="str">
        <f>'FY21 w YOY comp'!A17</f>
        <v xml:space="preserve">      1801 VBS General</v>
      </c>
      <c r="B17" s="50">
        <f>'FY21 w YOY comp'!B17</f>
        <v>1925</v>
      </c>
      <c r="C17" s="50">
        <f>'FY21 w YOY comp'!C17</f>
        <v>3470</v>
      </c>
      <c r="D17" s="50">
        <f>'FY21 w YOY comp'!D17</f>
        <v>5036</v>
      </c>
      <c r="E17" s="50">
        <f>'FY21 w YOY comp'!E17</f>
        <v>4922.37</v>
      </c>
      <c r="F17" s="50">
        <f>'FY21 w YOY comp'!F17</f>
        <v>200</v>
      </c>
      <c r="G17" s="49">
        <f>'FY21 w YOY comp'!G17</f>
        <v>0</v>
      </c>
      <c r="H17" s="50">
        <f>'FY21 w YOY comp'!I17</f>
        <v>5000</v>
      </c>
      <c r="I17" s="50">
        <f>'FY21 w YOY comp'!H17</f>
        <v>0</v>
      </c>
      <c r="J17" s="24">
        <f>'FY21 w YOY comp'!K17</f>
        <v>5000</v>
      </c>
      <c r="K17" s="53" t="str">
        <f>'FY21 w YOY comp'!O17</f>
        <v>Tied to expense line item 5644</v>
      </c>
      <c r="L17" s="53">
        <f>'FY21 w YOY comp'!P17</f>
        <v>0</v>
      </c>
      <c r="M17" s="53">
        <f>'FY21 w YOY comp'!Q17</f>
        <v>0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ht="15.75" hidden="1" customHeight="1" x14ac:dyDescent="0.25">
      <c r="A18" s="48" t="str">
        <f>'FY21 w YOY comp'!A18</f>
        <v xml:space="preserve">      1802 Thrift Shop Community Jar</v>
      </c>
      <c r="B18" s="50">
        <f>'FY21 w YOY comp'!B18</f>
        <v>496.56</v>
      </c>
      <c r="C18" s="50">
        <f>'FY21 w YOY comp'!C18</f>
        <v>691.53</v>
      </c>
      <c r="D18" s="50">
        <f>'FY21 w YOY comp'!D18</f>
        <v>855.4</v>
      </c>
      <c r="E18" s="50">
        <f>'FY21 w YOY comp'!E18</f>
        <v>819.68</v>
      </c>
      <c r="F18" s="50">
        <f>'FY21 w YOY comp'!F18</f>
        <v>524.29999999999995</v>
      </c>
      <c r="G18" s="50">
        <f>'FY21 w YOY comp'!G18</f>
        <v>456.84</v>
      </c>
      <c r="H18" s="50">
        <f>'FY21 w YOY comp'!I18</f>
        <v>850</v>
      </c>
      <c r="I18" s="50">
        <f>'FY21 w YOY comp'!H18</f>
        <v>456.84</v>
      </c>
      <c r="J18" s="24">
        <f>'FY21 w YOY comp'!K18</f>
        <v>600</v>
      </c>
      <c r="K18" s="53" t="str">
        <f>'FY21 w YOY comp'!O18</f>
        <v>directly tied to 5227</v>
      </c>
      <c r="L18" s="53">
        <f>'FY21 w YOY comp'!P18</f>
        <v>0</v>
      </c>
      <c r="M18" s="53">
        <f>'FY21 w YOY comp'!Q18</f>
        <v>0</v>
      </c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15.75" hidden="1" customHeight="1" x14ac:dyDescent="0.25">
      <c r="A19" s="48" t="str">
        <f>'FY21 w YOY comp'!A19</f>
        <v xml:space="preserve">      1803 Children's Ministry Events</v>
      </c>
      <c r="B19" s="50">
        <f>'FY21 w YOY comp'!B19</f>
        <v>20</v>
      </c>
      <c r="C19" s="49">
        <f>'FY21 w YOY comp'!C19</f>
        <v>0</v>
      </c>
      <c r="D19" s="50">
        <f>'FY21 w YOY comp'!D19</f>
        <v>10</v>
      </c>
      <c r="E19" s="49">
        <f>'FY21 w YOY comp'!E19</f>
        <v>0</v>
      </c>
      <c r="F19" s="55">
        <f>'FY21 w YOY comp'!F19</f>
        <v>0</v>
      </c>
      <c r="G19" s="49">
        <f>'FY21 w YOY comp'!G19</f>
        <v>0</v>
      </c>
      <c r="H19" s="50">
        <f>'FY21 w YOY comp'!I19</f>
        <v>0</v>
      </c>
      <c r="I19" s="50">
        <f>'FY21 w YOY comp'!H19</f>
        <v>0</v>
      </c>
      <c r="J19" s="24">
        <f>'FY21 w YOY comp'!K19</f>
        <v>0</v>
      </c>
      <c r="K19" s="53">
        <f>'FY21 w YOY comp'!O19</f>
        <v>0</v>
      </c>
      <c r="L19" s="53">
        <f>'FY21 w YOY comp'!P19</f>
        <v>0</v>
      </c>
      <c r="M19" s="53">
        <f>'FY21 w YOY comp'!Q19</f>
        <v>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15.75" hidden="1" customHeight="1" x14ac:dyDescent="0.25">
      <c r="A20" s="48" t="str">
        <f>'FY21 w YOY comp'!A20</f>
        <v xml:space="preserve">      1804 Youth Ministry Events</v>
      </c>
      <c r="B20" s="50">
        <f>'FY21 w YOY comp'!B20</f>
        <v>533</v>
      </c>
      <c r="C20" s="50">
        <f>'FY21 w YOY comp'!C20</f>
        <v>1805</v>
      </c>
      <c r="D20" s="50">
        <f>'FY21 w YOY comp'!D20</f>
        <v>100</v>
      </c>
      <c r="E20" s="50">
        <f>'FY21 w YOY comp'!E20</f>
        <v>200</v>
      </c>
      <c r="F20" s="55">
        <f>'FY21 w YOY comp'!F20</f>
        <v>0</v>
      </c>
      <c r="G20" s="49">
        <f>'FY21 w YOY comp'!G20</f>
        <v>250</v>
      </c>
      <c r="H20" s="50">
        <f>'FY21 w YOY comp'!I20</f>
        <v>550</v>
      </c>
      <c r="I20" s="50">
        <f>'FY21 w YOY comp'!H20</f>
        <v>250</v>
      </c>
      <c r="J20" s="24">
        <f>'FY21 w YOY comp'!K20</f>
        <v>250</v>
      </c>
      <c r="K20" s="53" t="str">
        <f>'FY21 w YOY comp'!O20</f>
        <v>~10 kids in confirmation, not everyone pays as it is a requested donation</v>
      </c>
      <c r="L20" s="53">
        <f>'FY21 w YOY comp'!P20</f>
        <v>0</v>
      </c>
      <c r="M20" s="53">
        <f>'FY21 w YOY comp'!Q20</f>
        <v>0</v>
      </c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15.75" hidden="1" customHeight="1" x14ac:dyDescent="0.25">
      <c r="A21" s="48" t="str">
        <f>'FY21 w YOY comp'!A21</f>
        <v xml:space="preserve">      1805 SHY Ministry Events</v>
      </c>
      <c r="B21" s="49">
        <f>'FY21 w YOY comp'!B21</f>
        <v>0</v>
      </c>
      <c r="C21" s="50">
        <f>'FY21 w YOY comp'!C21</f>
        <v>0</v>
      </c>
      <c r="D21" s="50">
        <f>'FY21 w YOY comp'!D21</f>
        <v>691.28</v>
      </c>
      <c r="E21" s="49">
        <f>'FY21 w YOY comp'!E21</f>
        <v>0</v>
      </c>
      <c r="F21" s="55">
        <f>'FY21 w YOY comp'!F21</f>
        <v>0</v>
      </c>
      <c r="G21" s="49">
        <f>'FY21 w YOY comp'!G21</f>
        <v>0</v>
      </c>
      <c r="H21" s="22">
        <f>'FY21 w YOY comp'!I21</f>
        <v>0</v>
      </c>
      <c r="I21" s="55">
        <f>'FY21 w YOY comp'!H21</f>
        <v>0</v>
      </c>
      <c r="J21" s="24">
        <f>'FY21 w YOY comp'!K21</f>
        <v>0</v>
      </c>
      <c r="K21" s="53">
        <f>'FY21 w YOY comp'!O21</f>
        <v>0</v>
      </c>
      <c r="L21" s="53">
        <f>'FY21 w YOY comp'!P21</f>
        <v>0</v>
      </c>
      <c r="M21" s="53">
        <f>'FY21 w YOY comp'!Q21</f>
        <v>0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15.75" hidden="1" customHeight="1" x14ac:dyDescent="0.25">
      <c r="A22" s="48" t="str">
        <f>'FY21 w YOY comp'!A22</f>
        <v xml:space="preserve">      1808 Bibles</v>
      </c>
      <c r="B22" s="49">
        <f>'FY21 w YOY comp'!B22</f>
        <v>0</v>
      </c>
      <c r="C22" s="50">
        <f>'FY21 w YOY comp'!C22</f>
        <v>43.5</v>
      </c>
      <c r="D22" s="50">
        <f>'FY21 w YOY comp'!D22</f>
        <v>33.85</v>
      </c>
      <c r="E22" s="49">
        <f>'FY21 w YOY comp'!E22</f>
        <v>0</v>
      </c>
      <c r="F22" s="55">
        <f>'FY21 w YOY comp'!F22</f>
        <v>0</v>
      </c>
      <c r="G22" s="49">
        <f>'FY21 w YOY comp'!G22</f>
        <v>0</v>
      </c>
      <c r="H22" s="55">
        <f>'FY21 w YOY comp'!I22</f>
        <v>0</v>
      </c>
      <c r="I22" s="55">
        <f>'FY21 w YOY comp'!H22</f>
        <v>0</v>
      </c>
      <c r="J22" s="73">
        <f>'FY21 w YOY comp'!K22</f>
        <v>0</v>
      </c>
      <c r="K22" s="53">
        <f>'FY21 w YOY comp'!O22</f>
        <v>0</v>
      </c>
      <c r="L22" s="53">
        <f>'FY21 w YOY comp'!P22</f>
        <v>0</v>
      </c>
      <c r="M22" s="53">
        <f>'FY21 w YOY comp'!Q22</f>
        <v>0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15.75" hidden="1" customHeight="1" x14ac:dyDescent="0.25">
      <c r="A23" s="48" t="str">
        <f>'FY21 w YOY comp'!A23</f>
        <v xml:space="preserve">      1809 Local/National Serving</v>
      </c>
      <c r="B23" s="50">
        <f>'FY21 w YOY comp'!B23</f>
        <v>560</v>
      </c>
      <c r="C23" s="50">
        <f>'FY21 w YOY comp'!C23</f>
        <v>373</v>
      </c>
      <c r="D23" s="50">
        <f>'FY21 w YOY comp'!D23</f>
        <v>90</v>
      </c>
      <c r="E23" s="50">
        <f>'FY21 w YOY comp'!E23</f>
        <v>1450</v>
      </c>
      <c r="F23" s="50">
        <f>'FY21 w YOY comp'!F23</f>
        <v>2590.0100000000002</v>
      </c>
      <c r="G23" s="50">
        <f>'FY21 w YOY comp'!G23</f>
        <v>5701.01</v>
      </c>
      <c r="H23" s="55">
        <f>'FY21 w YOY comp'!I23</f>
        <v>0</v>
      </c>
      <c r="I23" s="55">
        <f>'FY21 w YOY comp'!H23</f>
        <v>5701.01</v>
      </c>
      <c r="J23" s="73">
        <f>'FY21 w YOY comp'!K23</f>
        <v>0</v>
      </c>
      <c r="K23" s="53" t="str">
        <f>'FY21 w YOY comp'!O23</f>
        <v>corresponds to 5228 line item; special donations to local need/disaster that goes out thru 5228</v>
      </c>
      <c r="L23" s="53">
        <f>'FY21 w YOY comp'!P23</f>
        <v>0</v>
      </c>
      <c r="M23" s="53">
        <f>'FY21 w YOY comp'!Q23</f>
        <v>0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15.75" hidden="1" customHeight="1" x14ac:dyDescent="0.25">
      <c r="A24" s="48" t="str">
        <f>'FY21 w YOY comp'!A24</f>
        <v xml:space="preserve">      1810 International Serving</v>
      </c>
      <c r="B24" s="50">
        <f>'FY21 w YOY comp'!B24</f>
        <v>15</v>
      </c>
      <c r="C24" s="50">
        <f>'FY21 w YOY comp'!C24</f>
        <v>373.38</v>
      </c>
      <c r="D24" s="49">
        <f>'FY21 w YOY comp'!D24</f>
        <v>0</v>
      </c>
      <c r="E24" s="49">
        <f>'FY21 w YOY comp'!E24</f>
        <v>0</v>
      </c>
      <c r="F24" s="55">
        <f>'FY21 w YOY comp'!F24</f>
        <v>0</v>
      </c>
      <c r="G24" s="49">
        <f>'FY21 w YOY comp'!G24</f>
        <v>2161.98</v>
      </c>
      <c r="H24" s="55">
        <f>'FY21 w YOY comp'!I24</f>
        <v>0</v>
      </c>
      <c r="I24" s="55">
        <f>'FY21 w YOY comp'!H24</f>
        <v>2161.98</v>
      </c>
      <c r="J24" s="73">
        <f>'FY21 w YOY comp'!K24</f>
        <v>0</v>
      </c>
      <c r="K24" s="78">
        <f>'FY21 w YOY comp'!O24</f>
        <v>0</v>
      </c>
      <c r="L24" s="53">
        <f>'FY21 w YOY comp'!P24</f>
        <v>0</v>
      </c>
      <c r="M24" s="53">
        <f>'FY21 w YOY comp'!Q24</f>
        <v>0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15.75" hidden="1" customHeight="1" x14ac:dyDescent="0.25">
      <c r="A25" s="79" t="str">
        <f>'FY21 w YOY comp'!A25</f>
        <v xml:space="preserve">      1811 Other Special Giving Opportunities</v>
      </c>
      <c r="B25" s="80">
        <f>'FY21 w YOY comp'!B25</f>
        <v>651</v>
      </c>
      <c r="C25" s="80">
        <f>'FY21 w YOY comp'!C25</f>
        <v>5230</v>
      </c>
      <c r="D25" s="81">
        <f>'FY21 w YOY comp'!D25</f>
        <v>0</v>
      </c>
      <c r="E25" s="81">
        <f>'FY21 w YOY comp'!E25</f>
        <v>0</v>
      </c>
      <c r="F25" s="82">
        <f>'FY21 w YOY comp'!F25</f>
        <v>0</v>
      </c>
      <c r="G25" s="81">
        <f>'FY21 w YOY comp'!G25</f>
        <v>0</v>
      </c>
      <c r="H25" s="55">
        <f>'FY21 w YOY comp'!I25</f>
        <v>0</v>
      </c>
      <c r="I25" s="55">
        <f>'FY21 w YOY comp'!H25</f>
        <v>0</v>
      </c>
      <c r="J25" s="73">
        <f>'FY21 w YOY comp'!K25</f>
        <v>0</v>
      </c>
      <c r="K25" s="78">
        <f>'FY21 w YOY comp'!O25</f>
        <v>0</v>
      </c>
      <c r="L25" s="78">
        <f>'FY21 w YOY comp'!P25</f>
        <v>0</v>
      </c>
      <c r="M25" s="78">
        <f>'FY21 w YOY comp'!Q25</f>
        <v>0</v>
      </c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</row>
    <row r="26" spans="1:27" ht="15.75" hidden="1" customHeight="1" x14ac:dyDescent="0.25">
      <c r="A26" s="83" t="str">
        <f>'FY21 w YOY comp'!A26</f>
        <v xml:space="preserve">         1811A Facilities and Thrift Shop</v>
      </c>
      <c r="B26" s="84">
        <f>'FY21 w YOY comp'!B26</f>
        <v>0</v>
      </c>
      <c r="C26" s="84">
        <f>'FY21 w YOY comp'!C26</f>
        <v>0</v>
      </c>
      <c r="D26" s="85">
        <f>'FY21 w YOY comp'!D26</f>
        <v>3525</v>
      </c>
      <c r="E26" s="85">
        <f>'FY21 w YOY comp'!E26</f>
        <v>4000</v>
      </c>
      <c r="F26" s="85">
        <f>'FY21 w YOY comp'!F26</f>
        <v>4000</v>
      </c>
      <c r="G26" s="85">
        <f>'FY21 w YOY comp'!G26</f>
        <v>5000</v>
      </c>
      <c r="H26" s="86">
        <f>'FY21 w YOY comp'!I26</f>
        <v>4000</v>
      </c>
      <c r="I26" s="86">
        <f>'FY21 w YOY comp'!H26</f>
        <v>5000</v>
      </c>
      <c r="J26" s="87">
        <f>'FY21 w YOY comp'!K26</f>
        <v>0</v>
      </c>
      <c r="K26" s="90" t="str">
        <f>'FY21 w YOY comp'!O26</f>
        <v>Comes from giving designated for physical plant/T.S. (money that does not go to Synod)</v>
      </c>
      <c r="L26" s="90">
        <f>'FY21 w YOY comp'!P26</f>
        <v>0</v>
      </c>
      <c r="M26" s="90">
        <f>'FY21 w YOY comp'!Q26</f>
        <v>0</v>
      </c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</row>
    <row r="27" spans="1:27" ht="15.75" hidden="1" customHeight="1" x14ac:dyDescent="0.25">
      <c r="A27" s="83" t="str">
        <f>'FY21 w YOY comp'!A27</f>
        <v xml:space="preserve">         1811B Congregational Meals</v>
      </c>
      <c r="B27" s="84">
        <f>'FY21 w YOY comp'!B27</f>
        <v>0</v>
      </c>
      <c r="C27" s="84">
        <f>'FY21 w YOY comp'!C27</f>
        <v>0</v>
      </c>
      <c r="D27" s="85">
        <f>'FY21 w YOY comp'!D27</f>
        <v>140</v>
      </c>
      <c r="E27" s="84">
        <f>'FY21 w YOY comp'!E27</f>
        <v>0</v>
      </c>
      <c r="F27" s="86">
        <f>'FY21 w YOY comp'!F27</f>
        <v>0</v>
      </c>
      <c r="G27" s="84">
        <f>'FY21 w YOY comp'!G27</f>
        <v>0</v>
      </c>
      <c r="H27" s="86">
        <f>'FY21 w YOY comp'!I27</f>
        <v>0</v>
      </c>
      <c r="I27" s="86">
        <f>'FY21 w YOY comp'!H27</f>
        <v>0</v>
      </c>
      <c r="J27" s="87">
        <f>'FY21 w YOY comp'!K27</f>
        <v>0</v>
      </c>
      <c r="K27" s="90">
        <f>'FY21 w YOY comp'!O27</f>
        <v>0</v>
      </c>
      <c r="L27" s="90">
        <f>'FY21 w YOY comp'!P27</f>
        <v>0</v>
      </c>
      <c r="M27" s="90">
        <f>'FY21 w YOY comp'!Q27</f>
        <v>0</v>
      </c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</row>
    <row r="28" spans="1:27" ht="15.75" hidden="1" customHeight="1" x14ac:dyDescent="0.25">
      <c r="A28" s="83" t="str">
        <f>'FY21 w YOY comp'!A28</f>
        <v xml:space="preserve">         1811C Books</v>
      </c>
      <c r="B28" s="84">
        <f>'FY21 w YOY comp'!B28</f>
        <v>0</v>
      </c>
      <c r="C28" s="84">
        <f>'FY21 w YOY comp'!C28</f>
        <v>0</v>
      </c>
      <c r="D28" s="85">
        <f>'FY21 w YOY comp'!D28</f>
        <v>85</v>
      </c>
      <c r="E28" s="84">
        <f>'FY21 w YOY comp'!E28</f>
        <v>0</v>
      </c>
      <c r="F28" s="85">
        <f>'FY21 w YOY comp'!F28</f>
        <v>67.87</v>
      </c>
      <c r="G28" s="85">
        <f>'FY21 w YOY comp'!G28</f>
        <v>67.87</v>
      </c>
      <c r="H28" s="86">
        <f>'FY21 w YOY comp'!I28</f>
        <v>0</v>
      </c>
      <c r="I28" s="86">
        <f>'FY21 w YOY comp'!H28</f>
        <v>67.87</v>
      </c>
      <c r="J28" s="87">
        <f>'FY21 w YOY comp'!K28</f>
        <v>0</v>
      </c>
      <c r="K28" s="90" t="str">
        <f>'FY21 w YOY comp'!O28</f>
        <v>Tied to expense for book club</v>
      </c>
      <c r="L28" s="90">
        <f>'FY21 w YOY comp'!P28</f>
        <v>0</v>
      </c>
      <c r="M28" s="90">
        <f>'FY21 w YOY comp'!Q28</f>
        <v>0</v>
      </c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</row>
    <row r="29" spans="1:27" ht="15.75" hidden="1" customHeight="1" x14ac:dyDescent="0.25">
      <c r="A29" s="83" t="str">
        <f>'FY21 w YOY comp'!A29</f>
        <v xml:space="preserve">         1811D T-Shirts</v>
      </c>
      <c r="B29" s="84">
        <f>'FY21 w YOY comp'!B29</f>
        <v>0</v>
      </c>
      <c r="C29" s="84">
        <f>'FY21 w YOY comp'!C29</f>
        <v>0</v>
      </c>
      <c r="D29" s="85">
        <f>'FY21 w YOY comp'!D29</f>
        <v>36</v>
      </c>
      <c r="E29" s="85">
        <f>'FY21 w YOY comp'!E29</f>
        <v>234</v>
      </c>
      <c r="F29" s="85">
        <f>'FY21 w YOY comp'!F29</f>
        <v>26</v>
      </c>
      <c r="G29" s="84">
        <f>'FY21 w YOY comp'!G29</f>
        <v>0</v>
      </c>
      <c r="H29" s="86">
        <f>'FY21 w YOY comp'!I29</f>
        <v>0</v>
      </c>
      <c r="I29" s="86">
        <f>'FY21 w YOY comp'!H29</f>
        <v>0</v>
      </c>
      <c r="J29" s="87">
        <f>'FY21 w YOY comp'!K29</f>
        <v>0</v>
      </c>
      <c r="K29" s="90" t="str">
        <f>'FY21 w YOY comp'!O29</f>
        <v>Tied to expense for God's work our Hands expenses</v>
      </c>
      <c r="L29" s="90">
        <f>'FY21 w YOY comp'!P29</f>
        <v>0</v>
      </c>
      <c r="M29" s="90">
        <f>'FY21 w YOY comp'!Q29</f>
        <v>0</v>
      </c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</row>
    <row r="30" spans="1:27" ht="15.75" hidden="1" customHeight="1" x14ac:dyDescent="0.25">
      <c r="A30" s="83" t="str">
        <f>'FY21 w YOY comp'!A30</f>
        <v xml:space="preserve">         1811E Congregational Events</v>
      </c>
      <c r="B30" s="84">
        <f>'FY21 w YOY comp'!B30</f>
        <v>0</v>
      </c>
      <c r="C30" s="84">
        <f>'FY21 w YOY comp'!C30</f>
        <v>0</v>
      </c>
      <c r="D30" s="85">
        <f>'FY21 w YOY comp'!D30</f>
        <v>84</v>
      </c>
      <c r="E30" s="85">
        <f>'FY21 w YOY comp'!E30</f>
        <v>925</v>
      </c>
      <c r="F30" s="85">
        <f>'FY21 w YOY comp'!F30</f>
        <v>100</v>
      </c>
      <c r="G30" s="85">
        <f>'FY21 w YOY comp'!G30</f>
        <v>100</v>
      </c>
      <c r="H30" s="86">
        <f>'FY21 w YOY comp'!I30</f>
        <v>1300</v>
      </c>
      <c r="I30" s="86">
        <f>'FY21 w YOY comp'!H30</f>
        <v>100</v>
      </c>
      <c r="J30" s="87">
        <f>'FY21 w YOY comp'!K30</f>
        <v>0</v>
      </c>
      <c r="K30" s="90" t="str">
        <f>'FY21 w YOY comp'!O30</f>
        <v>purchases for Lenten meals, mission trips</v>
      </c>
      <c r="L30" s="90">
        <f>'FY21 w YOY comp'!P30</f>
        <v>0</v>
      </c>
      <c r="M30" s="90">
        <f>'FY21 w YOY comp'!Q30</f>
        <v>0</v>
      </c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</row>
    <row r="31" spans="1:27" ht="15.75" hidden="1" customHeight="1" x14ac:dyDescent="0.25">
      <c r="A31" s="83" t="str">
        <f>'FY21 w YOY comp'!A31</f>
        <v xml:space="preserve">         1811F Sabbatical</v>
      </c>
      <c r="B31" s="84">
        <f>'FY21 w YOY comp'!B31</f>
        <v>0</v>
      </c>
      <c r="C31" s="84">
        <f>'FY21 w YOY comp'!C31</f>
        <v>0</v>
      </c>
      <c r="D31" s="85">
        <f>'FY21 w YOY comp'!D31</f>
        <v>40</v>
      </c>
      <c r="E31" s="84">
        <f>'FY21 w YOY comp'!E31</f>
        <v>0</v>
      </c>
      <c r="F31" s="86">
        <f>'FY21 w YOY comp'!F31</f>
        <v>0</v>
      </c>
      <c r="G31" s="84">
        <f>'FY21 w YOY comp'!G31</f>
        <v>0</v>
      </c>
      <c r="H31" s="86">
        <f>'FY21 w YOY comp'!I31</f>
        <v>0</v>
      </c>
      <c r="I31" s="86">
        <f>'FY21 w YOY comp'!H31</f>
        <v>0</v>
      </c>
      <c r="J31" s="87">
        <f>'FY21 w YOY comp'!K31</f>
        <v>0</v>
      </c>
      <c r="K31" s="90" t="str">
        <f>'FY21 w YOY comp'!O31</f>
        <v>Every 5-7 Years (need to start planning)</v>
      </c>
      <c r="L31" s="90">
        <f>'FY21 w YOY comp'!P31</f>
        <v>0</v>
      </c>
      <c r="M31" s="90">
        <f>'FY21 w YOY comp'!Q31</f>
        <v>0</v>
      </c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</row>
    <row r="32" spans="1:27" ht="15.75" hidden="1" customHeight="1" x14ac:dyDescent="0.25">
      <c r="A32" s="83" t="str">
        <f>'FY21 w YOY comp'!A32</f>
        <v xml:space="preserve">         1811G Food Ministry</v>
      </c>
      <c r="B32" s="84">
        <f>'FY21 w YOY comp'!B32</f>
        <v>0</v>
      </c>
      <c r="C32" s="84">
        <f>'FY21 w YOY comp'!C32</f>
        <v>0</v>
      </c>
      <c r="D32" s="84">
        <f>'FY21 w YOY comp'!D32</f>
        <v>0</v>
      </c>
      <c r="E32" s="84">
        <f>'FY21 w YOY comp'!E32</f>
        <v>0</v>
      </c>
      <c r="F32" s="85">
        <f>'FY21 w YOY comp'!F32</f>
        <v>1375</v>
      </c>
      <c r="G32" s="85">
        <f>'FY21 w YOY comp'!G32</f>
        <v>2628</v>
      </c>
      <c r="H32" s="86">
        <f>'FY21 w YOY comp'!I32</f>
        <v>0</v>
      </c>
      <c r="I32" s="86">
        <f>'FY21 w YOY comp'!H32</f>
        <v>2628</v>
      </c>
      <c r="J32" s="87">
        <f>'FY21 w YOY comp'!K32</f>
        <v>2000</v>
      </c>
      <c r="K32" s="53" t="str">
        <f>'FY21 w YOY comp'!O32</f>
        <v>Corresponds to 5940 expense line item</v>
      </c>
      <c r="L32" s="90">
        <f>'FY21 w YOY comp'!P32</f>
        <v>0</v>
      </c>
      <c r="M32" s="90">
        <f>'FY21 w YOY comp'!Q32</f>
        <v>0</v>
      </c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</row>
    <row r="33" spans="1:27" ht="15.75" hidden="1" customHeight="1" x14ac:dyDescent="0.25">
      <c r="A33" s="83" t="str">
        <f>'FY21 w YOY comp'!A33</f>
        <v xml:space="preserve">         1811H Miscellaneous</v>
      </c>
      <c r="B33" s="84">
        <f>'FY21 w YOY comp'!B33</f>
        <v>0</v>
      </c>
      <c r="C33" s="84">
        <f>'FY21 w YOY comp'!C33</f>
        <v>0</v>
      </c>
      <c r="D33" s="85">
        <f>'FY21 w YOY comp'!D33</f>
        <v>384</v>
      </c>
      <c r="E33" s="85">
        <f>'FY21 w YOY comp'!E33</f>
        <v>248.71</v>
      </c>
      <c r="F33" s="85">
        <f>'FY21 w YOY comp'!F33</f>
        <v>84.51</v>
      </c>
      <c r="G33" s="85">
        <f>'FY21 w YOY comp'!G33</f>
        <v>315</v>
      </c>
      <c r="H33" s="86">
        <f>'FY21 w YOY comp'!I33</f>
        <v>0</v>
      </c>
      <c r="I33" s="86">
        <f>'FY21 w YOY comp'!H33</f>
        <v>315</v>
      </c>
      <c r="J33" s="87">
        <f>'FY21 w YOY comp'!K33</f>
        <v>0</v>
      </c>
      <c r="K33" s="90">
        <f>'FY21 w YOY comp'!O33</f>
        <v>0</v>
      </c>
      <c r="L33" s="90">
        <f>'FY21 w YOY comp'!P33</f>
        <v>0</v>
      </c>
      <c r="M33" s="90">
        <f>'FY21 w YOY comp'!Q33</f>
        <v>0</v>
      </c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</row>
    <row r="34" spans="1:27" ht="15.75" hidden="1" customHeight="1" x14ac:dyDescent="0.25">
      <c r="A34" s="48" t="str">
        <f>'FY21 w YOY comp'!A34</f>
        <v xml:space="preserve">      Total 1811 Other Special Giving Opportunities</v>
      </c>
      <c r="B34" s="95">
        <f>'FY21 w YOY comp'!B34</f>
        <v>651</v>
      </c>
      <c r="C34" s="95">
        <f>'FY21 w YOY comp'!C34</f>
        <v>5230</v>
      </c>
      <c r="D34" s="95">
        <f>'FY21 w YOY comp'!D34</f>
        <v>4294</v>
      </c>
      <c r="E34" s="95">
        <f>'FY21 w YOY comp'!E34</f>
        <v>5407.71</v>
      </c>
      <c r="F34" s="95">
        <f>'FY21 w YOY comp'!F34</f>
        <v>5653.38</v>
      </c>
      <c r="G34" s="95">
        <f>'FY21 w YOY comp'!G34</f>
        <v>8110.87</v>
      </c>
      <c r="H34" s="96">
        <f>'FY21 w YOY comp'!I34</f>
        <v>5300</v>
      </c>
      <c r="I34" s="95">
        <f>'FY21 w YOY comp'!H34</f>
        <v>8110.87</v>
      </c>
      <c r="J34" s="98">
        <f>'FY21 w YOY comp'!K34</f>
        <v>2000</v>
      </c>
      <c r="K34" s="53">
        <f>'FY21 w YOY comp'!O34</f>
        <v>0</v>
      </c>
      <c r="L34" s="53">
        <f>'FY21 w YOY comp'!P34</f>
        <v>0</v>
      </c>
      <c r="M34" s="53">
        <f>'FY21 w YOY comp'!Q34</f>
        <v>0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.75" hidden="1" customHeight="1" x14ac:dyDescent="0.25">
      <c r="A35" s="48" t="str">
        <f>'FY21 w YOY comp'!A35</f>
        <v xml:space="preserve">      1812 Memorial/In Honor Gifts</v>
      </c>
      <c r="B35" s="49">
        <f>'FY21 w YOY comp'!B35</f>
        <v>0</v>
      </c>
      <c r="C35" s="50">
        <f>'FY21 w YOY comp'!C35</f>
        <v>284.89999999999998</v>
      </c>
      <c r="D35" s="50">
        <f>'FY21 w YOY comp'!D35</f>
        <v>20</v>
      </c>
      <c r="E35" s="49">
        <f>'FY21 w YOY comp'!E35</f>
        <v>0</v>
      </c>
      <c r="F35" s="55">
        <f>'FY21 w YOY comp'!F35</f>
        <v>0</v>
      </c>
      <c r="G35" s="49">
        <f>'FY21 w YOY comp'!G35</f>
        <v>0</v>
      </c>
      <c r="H35" s="22">
        <f>'FY21 w YOY comp'!I35</f>
        <v>0</v>
      </c>
      <c r="I35" s="55">
        <f>'FY21 w YOY comp'!H35</f>
        <v>0</v>
      </c>
      <c r="J35" s="24">
        <f>'FY21 w YOY comp'!K35</f>
        <v>0</v>
      </c>
      <c r="K35" s="53">
        <f>'FY21 w YOY comp'!O35</f>
        <v>0</v>
      </c>
      <c r="L35" s="53">
        <f>'FY21 w YOY comp'!P35</f>
        <v>0</v>
      </c>
      <c r="M35" s="53">
        <f>'FY21 w YOY comp'!Q35</f>
        <v>0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15.75" hidden="1" customHeight="1" x14ac:dyDescent="0.25">
      <c r="A36" s="48" t="str">
        <f>'FY21 w YOY comp'!A36</f>
        <v xml:space="preserve">      1813 Easter &amp; Christmas Flowers</v>
      </c>
      <c r="B36" s="50">
        <f>'FY21 w YOY comp'!B36</f>
        <v>570</v>
      </c>
      <c r="C36" s="50">
        <f>'FY21 w YOY comp'!C36</f>
        <v>625</v>
      </c>
      <c r="D36" s="50">
        <f>'FY21 w YOY comp'!D36</f>
        <v>631</v>
      </c>
      <c r="E36" s="50">
        <f>'FY21 w YOY comp'!E36</f>
        <v>723.78</v>
      </c>
      <c r="F36" s="50">
        <f>'FY21 w YOY comp'!F36</f>
        <v>484.37</v>
      </c>
      <c r="G36" s="50">
        <f>'FY21 w YOY comp'!G36</f>
        <v>95</v>
      </c>
      <c r="H36" s="22">
        <f>'FY21 w YOY comp'!I36</f>
        <v>675</v>
      </c>
      <c r="I36" s="22">
        <f>'FY21 w YOY comp'!H36</f>
        <v>95</v>
      </c>
      <c r="J36" s="24">
        <f>'FY21 w YOY comp'!K36</f>
        <v>375</v>
      </c>
      <c r="K36" s="53" t="str">
        <f>'FY21 w YOY comp'!O36</f>
        <v>Corresponds to 5314 expense line item</v>
      </c>
      <c r="L36" s="53">
        <f>'FY21 w YOY comp'!P36</f>
        <v>0</v>
      </c>
      <c r="M36" s="53">
        <f>'FY21 w YOY comp'!Q36</f>
        <v>0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5.75" hidden="1" customHeight="1" x14ac:dyDescent="0.25">
      <c r="A37" s="48" t="str">
        <f>'FY21 w YOY comp'!A37</f>
        <v xml:space="preserve">      1814 CC Convenience Fee</v>
      </c>
      <c r="B37" s="50">
        <f>'FY21 w YOY comp'!B37</f>
        <v>13.33</v>
      </c>
      <c r="C37" s="50">
        <f>'FY21 w YOY comp'!C37</f>
        <v>165.33</v>
      </c>
      <c r="D37" s="50">
        <f>'FY21 w YOY comp'!D37</f>
        <v>86.77</v>
      </c>
      <c r="E37" s="50">
        <f>'FY21 w YOY comp'!E37</f>
        <v>277.91000000000003</v>
      </c>
      <c r="F37" s="50">
        <f>'FY21 w YOY comp'!F37</f>
        <v>180.07</v>
      </c>
      <c r="G37" s="50">
        <f>'FY21 w YOY comp'!G37</f>
        <v>195.68</v>
      </c>
      <c r="H37" s="22">
        <f>'FY21 w YOY comp'!I37</f>
        <v>100</v>
      </c>
      <c r="I37" s="22">
        <f>'FY21 w YOY comp'!H37</f>
        <v>195.68</v>
      </c>
      <c r="J37" s="24">
        <f>'FY21 w YOY comp'!K37</f>
        <v>730</v>
      </c>
      <c r="K37" s="53" t="str">
        <f>'FY21 w YOY comp'!O37</f>
        <v>Corresponds to Square Fee 5007 line item, but less than expense because of use of square in Thrift</v>
      </c>
      <c r="L37" s="53">
        <f>'FY21 w YOY comp'!P37</f>
        <v>0</v>
      </c>
      <c r="M37" s="53">
        <f>'FY21 w YOY comp'!Q37</f>
        <v>0</v>
      </c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15.75" customHeight="1" x14ac:dyDescent="0.25">
      <c r="A38" s="27" t="str">
        <f>'FY21 w YOY comp'!A40</f>
        <v xml:space="preserve">   Total 1800 Designated Giving</v>
      </c>
      <c r="B38" s="65">
        <f>'FY21 w YOY comp'!B40</f>
        <v>4783.8899999999994</v>
      </c>
      <c r="C38" s="65">
        <f>'FY21 w YOY comp'!C40</f>
        <v>13061.64</v>
      </c>
      <c r="D38" s="65">
        <f>'FY21 w YOY comp'!D40</f>
        <v>11848.3</v>
      </c>
      <c r="E38" s="65">
        <f>'FY21 w YOY comp'!E40</f>
        <v>13801.45</v>
      </c>
      <c r="F38" s="65">
        <f>'FY21 w YOY comp'!F40</f>
        <v>9632.130000000001</v>
      </c>
      <c r="G38" s="65">
        <f>'FY21 w YOY comp'!G40</f>
        <v>16971.379999999997</v>
      </c>
      <c r="H38" s="65">
        <f>'FY21 w YOY comp'!I40</f>
        <v>12475</v>
      </c>
      <c r="I38" s="65">
        <f>'FY21 w YOY comp'!H40</f>
        <v>16971.379999999997</v>
      </c>
      <c r="J38" s="67">
        <f>'FY21 w YOY comp'!K40</f>
        <v>8955</v>
      </c>
      <c r="K38" s="36">
        <f>'FY21 w YOY comp'!O40</f>
        <v>0</v>
      </c>
      <c r="L38" s="36">
        <f>'FY21 w YOY comp'!P40</f>
        <v>0</v>
      </c>
      <c r="M38" s="36">
        <f>'FY21 w YOY comp'!Q40</f>
        <v>0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</row>
    <row r="39" spans="1:27" ht="15.75" hidden="1" customHeight="1" x14ac:dyDescent="0.25">
      <c r="A39" s="46" t="str">
        <f>'FY21 w YOY comp'!A41</f>
        <v xml:space="preserve">   1900 Building Rental</v>
      </c>
      <c r="B39" s="21">
        <f>'FY21 w YOY comp'!B41</f>
        <v>0</v>
      </c>
      <c r="C39" s="21">
        <f>'FY21 w YOY comp'!C41</f>
        <v>0</v>
      </c>
      <c r="D39" s="21">
        <f>'FY21 w YOY comp'!D41</f>
        <v>0</v>
      </c>
      <c r="E39" s="21">
        <f>'FY21 w YOY comp'!E41</f>
        <v>0</v>
      </c>
      <c r="F39" s="22">
        <f>'FY21 w YOY comp'!F41</f>
        <v>0</v>
      </c>
      <c r="G39" s="21">
        <f>'FY21 w YOY comp'!G41</f>
        <v>0</v>
      </c>
      <c r="H39" s="22">
        <f>'FY21 w YOY comp'!I41</f>
        <v>0</v>
      </c>
      <c r="I39" s="22">
        <f>'FY21 w YOY comp'!H41</f>
        <v>0</v>
      </c>
      <c r="J39" s="24">
        <f>'FY21 w YOY comp'!K41</f>
        <v>0</v>
      </c>
      <c r="K39" s="1">
        <f>'FY21 w YOY comp'!O41</f>
        <v>0</v>
      </c>
      <c r="L39" s="1">
        <f>'FY21 w YOY comp'!P41</f>
        <v>0</v>
      </c>
      <c r="M39" s="1">
        <f>'FY21 w YOY comp'!Q41</f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hidden="1" customHeight="1" x14ac:dyDescent="0.25">
      <c r="A40" s="46" t="str">
        <f>'FY21 w YOY comp'!A42</f>
        <v xml:space="preserve">      1901 Iglesia Apostoles y Profetas</v>
      </c>
      <c r="B40" s="47">
        <f>'FY21 w YOY comp'!B42</f>
        <v>7600</v>
      </c>
      <c r="C40" s="47">
        <f>'FY21 w YOY comp'!C42</f>
        <v>8900</v>
      </c>
      <c r="D40" s="47">
        <f>'FY21 w YOY comp'!D42</f>
        <v>11450</v>
      </c>
      <c r="E40" s="47">
        <f>'FY21 w YOY comp'!E42</f>
        <v>11400</v>
      </c>
      <c r="F40" s="47">
        <f>'FY21 w YOY comp'!F42</f>
        <v>4750</v>
      </c>
      <c r="G40" s="47">
        <f>'FY21 w YOY comp'!G42</f>
        <v>950</v>
      </c>
      <c r="H40" s="22">
        <f>'FY21 w YOY comp'!I42</f>
        <v>950</v>
      </c>
      <c r="I40" s="22">
        <f>'FY21 w YOY comp'!H42</f>
        <v>950</v>
      </c>
      <c r="J40" s="24">
        <f>'FY21 w YOY comp'!K42</f>
        <v>0</v>
      </c>
      <c r="K40" s="1">
        <f>'FY21 w YOY comp'!O42</f>
        <v>0</v>
      </c>
      <c r="L40" s="1">
        <f>'FY21 w YOY comp'!P42</f>
        <v>0</v>
      </c>
      <c r="M40" s="1">
        <f>'FY21 w YOY comp'!Q42</f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hidden="1" customHeight="1" x14ac:dyDescent="0.25">
      <c r="A41" s="46" t="str">
        <f>'FY21 w YOY comp'!A43</f>
        <v xml:space="preserve">      1902 Parsonage (deleted)</v>
      </c>
      <c r="B41" s="21">
        <f>'FY21 w YOY comp'!B43</f>
        <v>0</v>
      </c>
      <c r="C41" s="21">
        <f>'FY21 w YOY comp'!C43</f>
        <v>0</v>
      </c>
      <c r="D41" s="21">
        <f>'FY21 w YOY comp'!D43</f>
        <v>0</v>
      </c>
      <c r="E41" s="21">
        <f>'FY21 w YOY comp'!E43</f>
        <v>0</v>
      </c>
      <c r="F41" s="22">
        <f>'FY21 w YOY comp'!F43</f>
        <v>0</v>
      </c>
      <c r="G41" s="21">
        <f>'FY21 w YOY comp'!G43</f>
        <v>0</v>
      </c>
      <c r="H41" s="22">
        <f>'FY21 w YOY comp'!I43</f>
        <v>0</v>
      </c>
      <c r="I41" s="22">
        <f>'FY21 w YOY comp'!H43</f>
        <v>0</v>
      </c>
      <c r="J41" s="24">
        <f>'FY21 w YOY comp'!K43</f>
        <v>0</v>
      </c>
      <c r="K41" s="1">
        <f>'FY21 w YOY comp'!O43</f>
        <v>0</v>
      </c>
      <c r="L41" s="1">
        <f>'FY21 w YOY comp'!P43</f>
        <v>0</v>
      </c>
      <c r="M41" s="1">
        <f>'FY21 w YOY comp'!Q43</f>
        <v>0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hidden="1" customHeight="1" x14ac:dyDescent="0.25">
      <c r="A42" s="46" t="str">
        <f>'FY21 w YOY comp'!A44</f>
        <v xml:space="preserve">      1903 Joy Kids Learning Center (deleted)</v>
      </c>
      <c r="B42" s="47">
        <f>'FY21 w YOY comp'!B44</f>
        <v>4200</v>
      </c>
      <c r="C42" s="47">
        <f>'FY21 w YOY comp'!C44</f>
        <v>4530</v>
      </c>
      <c r="D42" s="47">
        <f>'FY21 w YOY comp'!D44</f>
        <v>13013.55</v>
      </c>
      <c r="E42" s="21">
        <f>'FY21 w YOY comp'!E44</f>
        <v>0</v>
      </c>
      <c r="F42" s="22">
        <f>'FY21 w YOY comp'!F44</f>
        <v>0</v>
      </c>
      <c r="G42" s="21">
        <f>'FY21 w YOY comp'!G44</f>
        <v>0</v>
      </c>
      <c r="H42" s="22">
        <f>'FY21 w YOY comp'!I44</f>
        <v>0</v>
      </c>
      <c r="I42" s="22">
        <f>'FY21 w YOY comp'!H44</f>
        <v>0</v>
      </c>
      <c r="J42" s="24">
        <f>'FY21 w YOY comp'!K44</f>
        <v>0</v>
      </c>
      <c r="K42" s="1">
        <f>'FY21 w YOY comp'!O44</f>
        <v>0</v>
      </c>
      <c r="L42" s="1">
        <f>'FY21 w YOY comp'!P44</f>
        <v>0</v>
      </c>
      <c r="M42" s="1">
        <f>'FY21 w YOY comp'!Q44</f>
        <v>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hidden="1" customHeight="1" x14ac:dyDescent="0.25">
      <c r="A43" s="46" t="str">
        <f>'FY21 w YOY comp'!A45</f>
        <v xml:space="preserve">      1904 Joy Kids Profit Tithe (deleted)</v>
      </c>
      <c r="B43" s="47">
        <f>'FY21 w YOY comp'!B45</f>
        <v>9161.6</v>
      </c>
      <c r="C43" s="47">
        <f>'FY21 w YOY comp'!C45</f>
        <v>4303.53</v>
      </c>
      <c r="D43" s="21">
        <f>'FY21 w YOY comp'!D45</f>
        <v>0</v>
      </c>
      <c r="E43" s="21">
        <f>'FY21 w YOY comp'!E45</f>
        <v>0</v>
      </c>
      <c r="F43" s="22">
        <f>'FY21 w YOY comp'!F45</f>
        <v>0</v>
      </c>
      <c r="G43" s="21">
        <f>'FY21 w YOY comp'!G45</f>
        <v>0</v>
      </c>
      <c r="H43" s="22">
        <f>'FY21 w YOY comp'!I45</f>
        <v>0</v>
      </c>
      <c r="I43" s="22">
        <f>'FY21 w YOY comp'!H45</f>
        <v>0</v>
      </c>
      <c r="J43" s="24">
        <f>'FY21 w YOY comp'!K45</f>
        <v>0</v>
      </c>
      <c r="K43" s="1">
        <f>'FY21 w YOY comp'!O45</f>
        <v>0</v>
      </c>
      <c r="L43" s="1">
        <f>'FY21 w YOY comp'!P45</f>
        <v>0</v>
      </c>
      <c r="M43" s="1">
        <f>'FY21 w YOY comp'!Q45</f>
        <v>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hidden="1" customHeight="1" x14ac:dyDescent="0.25">
      <c r="A44" s="46" t="e">
        <f>'FY21 w YOY comp'!#REF!</f>
        <v>#REF!</v>
      </c>
      <c r="B44" s="47" t="e">
        <f>'FY21 w YOY comp'!#REF!</f>
        <v>#REF!</v>
      </c>
      <c r="C44" s="47" t="e">
        <f>'FY21 w YOY comp'!#REF!</f>
        <v>#REF!</v>
      </c>
      <c r="D44" s="47" t="e">
        <f>'FY21 w YOY comp'!#REF!</f>
        <v>#REF!</v>
      </c>
      <c r="E44" s="47" t="e">
        <f>'FY21 w YOY comp'!#REF!</f>
        <v>#REF!</v>
      </c>
      <c r="F44" s="47" t="e">
        <f>'FY21 w YOY comp'!#REF!</f>
        <v>#REF!</v>
      </c>
      <c r="G44" s="47" t="e">
        <f>'FY21 w YOY comp'!#REF!</f>
        <v>#REF!</v>
      </c>
      <c r="H44" s="22" t="e">
        <f>'FY21 w YOY comp'!#REF!</f>
        <v>#REF!</v>
      </c>
      <c r="I44" s="22" t="e">
        <f>'FY21 w YOY comp'!#REF!</f>
        <v>#REF!</v>
      </c>
      <c r="J44" s="24" t="e">
        <f>'FY21 w YOY comp'!#REF!</f>
        <v>#REF!</v>
      </c>
      <c r="K44" s="1" t="e">
        <f>'FY21 w YOY comp'!#REF!</f>
        <v>#REF!</v>
      </c>
      <c r="L44" s="1" t="e">
        <f>'FY21 w YOY comp'!#REF!</f>
        <v>#REF!</v>
      </c>
      <c r="M44" s="1" t="e">
        <f>'FY21 w YOY comp'!#REF!</f>
        <v>#REF!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hidden="1" customHeight="1" x14ac:dyDescent="0.25">
      <c r="A45" s="46" t="str">
        <f>'FY21 w YOY comp'!A46</f>
        <v xml:space="preserve">      1906 Iglecia Cristo (deleted)</v>
      </c>
      <c r="B45" s="47">
        <f>'FY21 w YOY comp'!B46</f>
        <v>10030.86</v>
      </c>
      <c r="C45" s="47">
        <f>'FY21 w YOY comp'!C46</f>
        <v>7870</v>
      </c>
      <c r="D45" s="47">
        <f>'FY21 w YOY comp'!D46</f>
        <v>800</v>
      </c>
      <c r="E45" s="21">
        <f>'FY21 w YOY comp'!E46</f>
        <v>0</v>
      </c>
      <c r="F45" s="22">
        <f>'FY21 w YOY comp'!F46</f>
        <v>0</v>
      </c>
      <c r="G45" s="21">
        <f>'FY21 w YOY comp'!G46</f>
        <v>0</v>
      </c>
      <c r="H45" s="59">
        <f>'FY21 w YOY comp'!I46</f>
        <v>0</v>
      </c>
      <c r="I45" s="22">
        <f>'FY21 w YOY comp'!H46</f>
        <v>0</v>
      </c>
      <c r="J45" s="61">
        <f>'FY21 w YOY comp'!K46</f>
        <v>0</v>
      </c>
      <c r="K45" s="1">
        <f>'FY21 w YOY comp'!O46</f>
        <v>0</v>
      </c>
      <c r="L45" s="1">
        <f>'FY21 w YOY comp'!P46</f>
        <v>0</v>
      </c>
      <c r="M45" s="1">
        <f>'FY21 w YOY comp'!Q46</f>
        <v>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hidden="1" customHeight="1" x14ac:dyDescent="0.25">
      <c r="A46" s="46" t="str">
        <f>'FY21 w YOY comp'!A47</f>
        <v xml:space="preserve">      1907 Music Lessons (deleted)</v>
      </c>
      <c r="B46" s="47">
        <f>'FY21 w YOY comp'!B47</f>
        <v>118</v>
      </c>
      <c r="C46" s="21">
        <f>'FY21 w YOY comp'!C47</f>
        <v>0</v>
      </c>
      <c r="D46" s="21">
        <f>'FY21 w YOY comp'!D47</f>
        <v>0</v>
      </c>
      <c r="E46" s="21">
        <f>'FY21 w YOY comp'!E47</f>
        <v>0</v>
      </c>
      <c r="F46" s="22">
        <f>'FY21 w YOY comp'!F47</f>
        <v>0</v>
      </c>
      <c r="G46" s="21">
        <f>'FY21 w YOY comp'!G47</f>
        <v>0</v>
      </c>
      <c r="H46" s="59">
        <f>'FY21 w YOY comp'!I47</f>
        <v>0</v>
      </c>
      <c r="I46" s="22">
        <f>'FY21 w YOY comp'!H47</f>
        <v>0</v>
      </c>
      <c r="J46" s="61">
        <f>'FY21 w YOY comp'!K47</f>
        <v>0</v>
      </c>
      <c r="K46" s="1">
        <f>'FY21 w YOY comp'!O47</f>
        <v>0</v>
      </c>
      <c r="L46" s="1">
        <f>'FY21 w YOY comp'!P47</f>
        <v>0</v>
      </c>
      <c r="M46" s="1">
        <f>'FY21 w YOY comp'!Q47</f>
        <v>0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27" t="str">
        <f>'FY21 w YOY comp'!A48</f>
        <v xml:space="preserve">   Total 1900 Building Rental</v>
      </c>
      <c r="B47" s="65">
        <f>'FY21 w YOY comp'!B48</f>
        <v>31110.46</v>
      </c>
      <c r="C47" s="65">
        <f>'FY21 w YOY comp'!C48</f>
        <v>25603.53</v>
      </c>
      <c r="D47" s="65">
        <f>'FY21 w YOY comp'!D48</f>
        <v>25263.55</v>
      </c>
      <c r="E47" s="65">
        <f>'FY21 w YOY comp'!E48</f>
        <v>11400</v>
      </c>
      <c r="F47" s="65">
        <f>'FY21 w YOY comp'!F48</f>
        <v>4750</v>
      </c>
      <c r="G47" s="65">
        <f>'FY21 w YOY comp'!G48</f>
        <v>950</v>
      </c>
      <c r="H47" s="65">
        <f>'FY21 w YOY comp'!I48</f>
        <v>950</v>
      </c>
      <c r="I47" s="65">
        <f>'FY21 w YOY comp'!H48</f>
        <v>950</v>
      </c>
      <c r="J47" s="67">
        <f>'FY21 w YOY comp'!K48</f>
        <v>0</v>
      </c>
      <c r="K47" s="36">
        <f>'FY21 w YOY comp'!O48</f>
        <v>0</v>
      </c>
      <c r="L47" s="36">
        <f>'FY21 w YOY comp'!P48</f>
        <v>0</v>
      </c>
      <c r="M47" s="36">
        <f>'FY21 w YOY comp'!Q48</f>
        <v>0</v>
      </c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1:27" ht="15.75" hidden="1" customHeight="1" x14ac:dyDescent="0.25">
      <c r="A48" s="48" t="str">
        <f>'FY21 w YOY comp'!A49</f>
        <v xml:space="preserve">   2065 Campaign Donations</v>
      </c>
      <c r="B48" s="49">
        <f>'FY21 w YOY comp'!B49</f>
        <v>0</v>
      </c>
      <c r="C48" s="49">
        <f>'FY21 w YOY comp'!C49</f>
        <v>0</v>
      </c>
      <c r="D48" s="49">
        <f>'FY21 w YOY comp'!D49</f>
        <v>0</v>
      </c>
      <c r="E48" s="49">
        <f>'FY21 w YOY comp'!E49</f>
        <v>0</v>
      </c>
      <c r="F48" s="55">
        <f>'FY21 w YOY comp'!F49</f>
        <v>0</v>
      </c>
      <c r="G48" s="49">
        <f>'FY21 w YOY comp'!G49</f>
        <v>0</v>
      </c>
      <c r="H48" s="22">
        <f>'FY21 w YOY comp'!I49</f>
        <v>0</v>
      </c>
      <c r="I48" s="55">
        <f>'FY21 w YOY comp'!H49</f>
        <v>0</v>
      </c>
      <c r="J48" s="24">
        <f>'FY21 w YOY comp'!K49</f>
        <v>0</v>
      </c>
      <c r="K48" s="53">
        <f>'FY21 w YOY comp'!O49</f>
        <v>0</v>
      </c>
      <c r="L48" s="53">
        <f>'FY21 w YOY comp'!P49</f>
        <v>0</v>
      </c>
      <c r="M48" s="53">
        <f>'FY21 w YOY comp'!Q49</f>
        <v>0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15.75" hidden="1" customHeight="1" x14ac:dyDescent="0.25">
      <c r="A49" s="48" t="str">
        <f>'FY21 w YOY comp'!A50</f>
        <v xml:space="preserve">      2065A Next Chapter</v>
      </c>
      <c r="B49" s="50">
        <f>'FY21 w YOY comp'!B50</f>
        <v>0</v>
      </c>
      <c r="C49" s="50">
        <f>'FY21 w YOY comp'!C50</f>
        <v>0</v>
      </c>
      <c r="D49" s="50">
        <f>'FY21 w YOY comp'!D50</f>
        <v>0</v>
      </c>
      <c r="E49" s="50">
        <f>'FY21 w YOY comp'!E50</f>
        <v>0</v>
      </c>
      <c r="F49" s="50">
        <f>'FY21 w YOY comp'!F50</f>
        <v>0</v>
      </c>
      <c r="G49" s="49">
        <f>'FY21 w YOY comp'!G50</f>
        <v>0</v>
      </c>
      <c r="H49" s="50">
        <f>'FY21 w YOY comp'!I50</f>
        <v>0</v>
      </c>
      <c r="I49" s="50">
        <f>'FY21 w YOY comp'!H50</f>
        <v>0</v>
      </c>
      <c r="J49" s="24">
        <f>'FY21 w YOY comp'!K50</f>
        <v>16297</v>
      </c>
      <c r="K49" s="53" t="str">
        <f>'FY21 w YOY comp'!O50</f>
        <v>Will go towards paying down principal on current MIF refinanced loan, so it's reflected in the mortgage expense (in/out)</v>
      </c>
      <c r="L49" s="53">
        <f>'FY21 w YOY comp'!P50</f>
        <v>0</v>
      </c>
      <c r="M49" s="53">
        <f>'FY21 w YOY comp'!Q50</f>
        <v>0</v>
      </c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5.75" hidden="1" customHeight="1" x14ac:dyDescent="0.25">
      <c r="A50" s="48" t="str">
        <f>'FY21 w YOY comp'!A51</f>
        <v xml:space="preserve">      2065B Anchored in Hope</v>
      </c>
      <c r="B50" s="50">
        <f>'FY21 w YOY comp'!B51</f>
        <v>0</v>
      </c>
      <c r="C50" s="50">
        <f>'FY21 w YOY comp'!C51</f>
        <v>0</v>
      </c>
      <c r="D50" s="50">
        <f>'FY21 w YOY comp'!D51</f>
        <v>0</v>
      </c>
      <c r="E50" s="50">
        <f>'FY21 w YOY comp'!E51</f>
        <v>0</v>
      </c>
      <c r="F50" s="50">
        <f>'FY21 w YOY comp'!F51</f>
        <v>0</v>
      </c>
      <c r="G50" s="49">
        <f>'FY21 w YOY comp'!G51</f>
        <v>0</v>
      </c>
      <c r="H50" s="50">
        <f>'FY21 w YOY comp'!I51</f>
        <v>0</v>
      </c>
      <c r="I50" s="50">
        <f>'FY21 w YOY comp'!H51</f>
        <v>0</v>
      </c>
      <c r="J50" s="24">
        <f>'FY21 w YOY comp'!K51</f>
        <v>30499</v>
      </c>
      <c r="K50" s="53" t="str">
        <f>'FY21 w YOY comp'!O51</f>
        <v>FY21: Mortgage payment (1794), roof loan payment (768.38) from June-Jan; Parking Lot Resurface ($15K), Recovery House Start-up Costs ($30K), A/V Upgrade ($10K); includes FY21 Year End Donations designated to AiH</v>
      </c>
      <c r="L50" s="53">
        <f>'FY21 w YOY comp'!P51</f>
        <v>0</v>
      </c>
      <c r="M50" s="53">
        <f>'FY21 w YOY comp'!Q51</f>
        <v>0</v>
      </c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.75" customHeight="1" x14ac:dyDescent="0.25">
      <c r="A51" s="27" t="str">
        <f>'FY21 w YOY comp'!A52</f>
        <v xml:space="preserve">   Total 2065 Campaign Donations</v>
      </c>
      <c r="B51" s="65">
        <f>'FY21 w YOY comp'!B52</f>
        <v>0</v>
      </c>
      <c r="C51" s="65">
        <f>'FY21 w YOY comp'!C52</f>
        <v>0</v>
      </c>
      <c r="D51" s="65">
        <f>'FY21 w YOY comp'!D52</f>
        <v>0</v>
      </c>
      <c r="E51" s="65">
        <f>'FY21 w YOY comp'!E52</f>
        <v>0</v>
      </c>
      <c r="F51" s="65">
        <f>'FY21 w YOY comp'!F52</f>
        <v>0</v>
      </c>
      <c r="G51" s="65">
        <f>'FY21 w YOY comp'!G52</f>
        <v>0</v>
      </c>
      <c r="H51" s="65">
        <f>'FY21 w YOY comp'!I52</f>
        <v>0</v>
      </c>
      <c r="I51" s="65">
        <f>'FY21 w YOY comp'!H52</f>
        <v>0</v>
      </c>
      <c r="J51" s="67">
        <f>'FY21 w YOY comp'!K52</f>
        <v>46796</v>
      </c>
      <c r="K51" s="36">
        <f>'FY21 w YOY comp'!O52</f>
        <v>0</v>
      </c>
      <c r="L51" s="36">
        <f>'FY21 w YOY comp'!P52</f>
        <v>0</v>
      </c>
      <c r="M51" s="36">
        <f>'FY21 w YOY comp'!Q52</f>
        <v>0</v>
      </c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15.75" customHeight="1" x14ac:dyDescent="0.25">
      <c r="A52" s="108" t="str">
        <f>'FY21 w YOY comp'!A53</f>
        <v>Total Income</v>
      </c>
      <c r="B52" s="109">
        <f>'FY21 w YOY comp'!B53</f>
        <v>319568.80000000005</v>
      </c>
      <c r="C52" s="109">
        <f>'FY21 w YOY comp'!C53</f>
        <v>304537.38</v>
      </c>
      <c r="D52" s="109">
        <f>'FY21 w YOY comp'!D53</f>
        <v>336834.42</v>
      </c>
      <c r="E52" s="109">
        <f>'FY21 w YOY comp'!E53</f>
        <v>331458.99000000005</v>
      </c>
      <c r="F52" s="109">
        <f>'FY21 w YOY comp'!F53</f>
        <v>330952.05</v>
      </c>
      <c r="G52" s="109">
        <f>'FY21 w YOY comp'!G53</f>
        <v>333586.69</v>
      </c>
      <c r="H52" s="109">
        <f>'FY21 w YOY comp'!I53</f>
        <v>334583</v>
      </c>
      <c r="I52" s="109">
        <f>'FY21 w YOY comp'!H53</f>
        <v>333586.69</v>
      </c>
      <c r="J52" s="111">
        <f>'FY21 w YOY comp'!K53</f>
        <v>405782.16013333335</v>
      </c>
      <c r="K52" s="115">
        <f>'FY21 w YOY comp'!O53</f>
        <v>0</v>
      </c>
      <c r="L52" s="115">
        <f>'FY21 w YOY comp'!P53</f>
        <v>0</v>
      </c>
      <c r="M52" s="115">
        <f>'FY21 w YOY comp'!Q53</f>
        <v>0</v>
      </c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ht="15.75" hidden="1" customHeight="1" x14ac:dyDescent="0.25">
      <c r="A53" s="20">
        <f>'FY21 w YOY comp'!A54</f>
        <v>0</v>
      </c>
      <c r="B53" s="116">
        <f>'FY21 w YOY comp'!B54</f>
        <v>0</v>
      </c>
      <c r="C53" s="116">
        <f>'FY21 w YOY comp'!C54</f>
        <v>0</v>
      </c>
      <c r="D53" s="116">
        <f>'FY21 w YOY comp'!D54</f>
        <v>0</v>
      </c>
      <c r="E53" s="116">
        <f>'FY21 w YOY comp'!E54</f>
        <v>0</v>
      </c>
      <c r="F53" s="116">
        <f>'FY21 w YOY comp'!F54</f>
        <v>0</v>
      </c>
      <c r="G53" s="116">
        <f>'FY21 w YOY comp'!G54</f>
        <v>0</v>
      </c>
      <c r="H53" s="22">
        <f>'FY21 w YOY comp'!I54</f>
        <v>0</v>
      </c>
      <c r="I53" s="22">
        <f>'FY21 w YOY comp'!H54</f>
        <v>0</v>
      </c>
      <c r="J53" s="24">
        <f>'FY21 w YOY comp'!K54</f>
        <v>0</v>
      </c>
      <c r="K53" s="1">
        <f>'FY21 w YOY comp'!O54</f>
        <v>0</v>
      </c>
      <c r="L53" s="1">
        <f>'FY21 w YOY comp'!P54</f>
        <v>0</v>
      </c>
      <c r="M53" s="1">
        <f>'FY21 w YOY comp'!Q54</f>
        <v>0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5">
      <c r="A54" s="117" t="str">
        <f>'FY21 w YOY comp'!A55</f>
        <v>Gross Profit</v>
      </c>
      <c r="B54" s="118">
        <f>'FY21 w YOY comp'!B55</f>
        <v>319568.80000000005</v>
      </c>
      <c r="C54" s="118">
        <f>'FY21 w YOY comp'!C55</f>
        <v>304537.38</v>
      </c>
      <c r="D54" s="118">
        <f>'FY21 w YOY comp'!D55</f>
        <v>336834.42</v>
      </c>
      <c r="E54" s="118">
        <f>'FY21 w YOY comp'!E55</f>
        <v>331458.99000000005</v>
      </c>
      <c r="F54" s="118">
        <f>'FY21 w YOY comp'!F55</f>
        <v>330952.05</v>
      </c>
      <c r="G54" s="118">
        <f>'FY21 w YOY comp'!G55</f>
        <v>333586.69</v>
      </c>
      <c r="H54" s="118">
        <f>'FY21 w YOY comp'!I55</f>
        <v>334583</v>
      </c>
      <c r="I54" s="118">
        <f>'FY21 w YOY comp'!H55</f>
        <v>333586.69</v>
      </c>
      <c r="J54" s="120">
        <f>'FY21 w YOY comp'!K55</f>
        <v>405782.16013333335</v>
      </c>
      <c r="K54" s="121">
        <f>'FY21 w YOY comp'!O55</f>
        <v>0</v>
      </c>
      <c r="L54" s="121">
        <f>'FY21 w YOY comp'!P55</f>
        <v>0</v>
      </c>
      <c r="M54" s="121">
        <f>'FY21 w YOY comp'!Q55</f>
        <v>0</v>
      </c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</row>
    <row r="55" spans="1:27" ht="15.75" customHeight="1" x14ac:dyDescent="0.25">
      <c r="A55" s="20">
        <f>'FY21 w YOY comp'!A56</f>
        <v>0</v>
      </c>
      <c r="B55" s="21">
        <f>'FY21 w YOY comp'!B56</f>
        <v>0</v>
      </c>
      <c r="C55" s="21">
        <f>'FY21 w YOY comp'!C56</f>
        <v>0</v>
      </c>
      <c r="D55" s="21">
        <f>'FY21 w YOY comp'!D56</f>
        <v>0</v>
      </c>
      <c r="E55" s="21">
        <f>'FY21 w YOY comp'!E56</f>
        <v>0</v>
      </c>
      <c r="F55" s="22">
        <f>'FY21 w YOY comp'!F56</f>
        <v>0</v>
      </c>
      <c r="G55" s="21">
        <f>'FY21 w YOY comp'!G56</f>
        <v>0</v>
      </c>
      <c r="H55" s="22">
        <f>'FY21 w YOY comp'!I56</f>
        <v>0</v>
      </c>
      <c r="I55" s="22">
        <f>'FY21 w YOY comp'!H56</f>
        <v>0</v>
      </c>
      <c r="J55" s="24">
        <f>'FY21 w YOY comp'!K56</f>
        <v>0</v>
      </c>
      <c r="K55" s="1">
        <f>'FY21 w YOY comp'!O56</f>
        <v>0</v>
      </c>
      <c r="L55" s="1">
        <f>'FY21 w YOY comp'!P56</f>
        <v>0</v>
      </c>
      <c r="M55" s="1">
        <f>'FY21 w YOY comp'!Q56</f>
        <v>0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5">
      <c r="A56" s="20" t="str">
        <f>'FY21 w YOY comp'!A57</f>
        <v>Expenses</v>
      </c>
      <c r="B56" s="21">
        <f>'FY21 w YOY comp'!B57</f>
        <v>0</v>
      </c>
      <c r="C56" s="21">
        <f>'FY21 w YOY comp'!C57</f>
        <v>0</v>
      </c>
      <c r="D56" s="21">
        <f>'FY21 w YOY comp'!D57</f>
        <v>0</v>
      </c>
      <c r="E56" s="21">
        <f>'FY21 w YOY comp'!E57</f>
        <v>0</v>
      </c>
      <c r="F56" s="22">
        <f>'FY21 w YOY comp'!F57</f>
        <v>0</v>
      </c>
      <c r="G56" s="21">
        <f>'FY21 w YOY comp'!G57</f>
        <v>0</v>
      </c>
      <c r="H56" s="22">
        <f>'FY21 w YOY comp'!I57</f>
        <v>0</v>
      </c>
      <c r="I56" s="22">
        <f>'FY21 w YOY comp'!H57</f>
        <v>0</v>
      </c>
      <c r="J56" s="24">
        <f>'FY21 w YOY comp'!K57</f>
        <v>0</v>
      </c>
      <c r="K56" s="1">
        <f>'FY21 w YOY comp'!O57</f>
        <v>0</v>
      </c>
      <c r="L56" s="1">
        <f>'FY21 w YOY comp'!P57</f>
        <v>0</v>
      </c>
      <c r="M56" s="1">
        <f>'FY21 w YOY comp'!Q57</f>
        <v>0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hidden="1" customHeight="1" x14ac:dyDescent="0.25">
      <c r="A57" s="122" t="str">
        <f>'FY21 w YOY comp'!A59</f>
        <v xml:space="preserve">   3001 Staffing</v>
      </c>
      <c r="B57" s="123">
        <f>'FY21 w YOY comp'!B59</f>
        <v>180</v>
      </c>
      <c r="C57" s="123">
        <f>'FY21 w YOY comp'!C59</f>
        <v>0</v>
      </c>
      <c r="D57" s="123">
        <f>'FY21 w YOY comp'!D59</f>
        <v>165</v>
      </c>
      <c r="E57" s="123">
        <f>'FY21 w YOY comp'!E59</f>
        <v>0</v>
      </c>
      <c r="F57" s="124">
        <f>'FY21 w YOY comp'!F59</f>
        <v>0</v>
      </c>
      <c r="G57" s="125">
        <f>'FY21 w YOY comp'!G59</f>
        <v>0</v>
      </c>
      <c r="H57" s="124">
        <f>'FY21 w YOY comp'!I59</f>
        <v>0</v>
      </c>
      <c r="I57" s="124">
        <f>'FY21 w YOY comp'!H59</f>
        <v>0</v>
      </c>
      <c r="J57" s="127">
        <f>'FY21 w YOY comp'!K59</f>
        <v>0</v>
      </c>
      <c r="K57" s="131" t="str">
        <f>'FY21 w YOY comp'!O59</f>
        <v>5.9% COL Increase</v>
      </c>
      <c r="L57" s="131">
        <f>'FY21 w YOY comp'!P59</f>
        <v>0</v>
      </c>
      <c r="M57" s="131">
        <f>'FY21 w YOY comp'!Q59</f>
        <v>0</v>
      </c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</row>
    <row r="58" spans="1:27" ht="15.75" hidden="1" customHeight="1" x14ac:dyDescent="0.25">
      <c r="A58" s="133" t="str">
        <f>'FY21 w YOY comp'!A60</f>
        <v xml:space="preserve">      3010 Pastor Salary &amp; Benefits</v>
      </c>
      <c r="B58" s="134">
        <f>'FY21 w YOY comp'!B60</f>
        <v>0</v>
      </c>
      <c r="C58" s="134">
        <f>'FY21 w YOY comp'!C60</f>
        <v>0</v>
      </c>
      <c r="D58" s="134">
        <f>'FY21 w YOY comp'!D60</f>
        <v>0</v>
      </c>
      <c r="E58" s="134">
        <f>'FY21 w YOY comp'!E60</f>
        <v>0</v>
      </c>
      <c r="F58" s="135">
        <f>'FY21 w YOY comp'!F60</f>
        <v>0</v>
      </c>
      <c r="G58" s="134">
        <f>'FY21 w YOY comp'!G60</f>
        <v>0</v>
      </c>
      <c r="H58" s="135">
        <f>'FY21 w YOY comp'!I60</f>
        <v>0</v>
      </c>
      <c r="I58" s="135">
        <f>'FY21 w YOY comp'!H60</f>
        <v>0</v>
      </c>
      <c r="J58" s="137">
        <f>'FY21 w YOY comp'!K60</f>
        <v>0</v>
      </c>
      <c r="K58" s="310" t="str">
        <f>'FY21 w YOY comp'!O60</f>
        <v>FY21 Budget accounts for 2.5 months of parsonage-included compensation &amp; 9.5 months of new comp package</v>
      </c>
      <c r="L58" s="142">
        <f>'FY21 w YOY comp'!P60</f>
        <v>0</v>
      </c>
      <c r="M58" s="142">
        <f>'FY21 w YOY comp'!Q60</f>
        <v>0</v>
      </c>
      <c r="N58" s="142">
        <f>'FY21 w YOY comp'!R60</f>
        <v>0</v>
      </c>
      <c r="O58" s="142">
        <f>'FY21 w YOY comp'!S60</f>
        <v>0</v>
      </c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</row>
    <row r="59" spans="1:27" ht="15.75" hidden="1" customHeight="1" x14ac:dyDescent="0.25">
      <c r="A59" s="133" t="str">
        <f>'FY21 w YOY comp'!A61</f>
        <v xml:space="preserve">         3013 Health Insurance</v>
      </c>
      <c r="B59" s="143">
        <f>'FY21 w YOY comp'!B61</f>
        <v>22714.560000000001</v>
      </c>
      <c r="C59" s="143">
        <f>'FY21 w YOY comp'!C61</f>
        <v>24672</v>
      </c>
      <c r="D59" s="143">
        <f>'FY21 w YOY comp'!D61</f>
        <v>26496</v>
      </c>
      <c r="E59" s="143">
        <f>'FY21 w YOY comp'!E61</f>
        <v>28704</v>
      </c>
      <c r="F59" s="143">
        <f>'FY21 w YOY comp'!F61</f>
        <v>29896</v>
      </c>
      <c r="G59" s="143">
        <f>'FY21 w YOY comp'!G61</f>
        <v>30492</v>
      </c>
      <c r="H59" s="135">
        <f>'FY21 w YOY comp'!I61</f>
        <v>30492</v>
      </c>
      <c r="I59" s="135">
        <f>'FY21 w YOY comp'!H61</f>
        <v>30492</v>
      </c>
      <c r="J59" s="137">
        <f>'FY21 w YOY comp'!K61</f>
        <v>32928</v>
      </c>
      <c r="K59" s="311">
        <f>'FY21 w YOY comp'!O61</f>
        <v>0</v>
      </c>
      <c r="L59" s="311" t="str">
        <f>'FY21 w YOY comp'!P61</f>
        <v>New 2021 Annual Salary:</v>
      </c>
      <c r="M59" s="148">
        <f>'FY21 w YOY comp'!Q61</f>
        <v>100866</v>
      </c>
      <c r="N59" s="149">
        <f>'FY21 w YOY comp'!S61</f>
        <v>106817.094</v>
      </c>
      <c r="O59" s="142" t="str">
        <f>'FY21 w YOY comp'!T61</f>
        <v>2022 comp pkg</v>
      </c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</row>
    <row r="60" spans="1:27" ht="15.75" hidden="1" customHeight="1" x14ac:dyDescent="0.25">
      <c r="A60" s="133" t="str">
        <f>'FY21 w YOY comp'!A62</f>
        <v xml:space="preserve">         3014 Housing Equity Allowance</v>
      </c>
      <c r="B60" s="143">
        <f>'FY21 w YOY comp'!B62</f>
        <v>2343.46</v>
      </c>
      <c r="C60" s="143">
        <f>'FY21 w YOY comp'!C62</f>
        <v>2293.17</v>
      </c>
      <c r="D60" s="143">
        <f>'FY21 w YOY comp'!D62</f>
        <v>2318.31</v>
      </c>
      <c r="E60" s="143">
        <f>'FY21 w YOY comp'!E62</f>
        <v>2397.0500000000002</v>
      </c>
      <c r="F60" s="143">
        <f>'FY21 w YOY comp'!F62</f>
        <v>2428.1799999999998</v>
      </c>
      <c r="G60" s="143">
        <f>'FY21 w YOY comp'!G62</f>
        <v>2442.02</v>
      </c>
      <c r="H60" s="135">
        <f>'FY21 w YOY comp'!I62</f>
        <v>2445.4499999999998</v>
      </c>
      <c r="I60" s="135">
        <f>'FY21 w YOY comp'!H62</f>
        <v>2442.02</v>
      </c>
      <c r="J60" s="137">
        <f>'FY21 w YOY comp'!K62</f>
        <v>611.37</v>
      </c>
      <c r="K60" s="311">
        <f>'FY21 w YOY comp'!O62</f>
        <v>0</v>
      </c>
      <c r="L60" s="311" t="str">
        <f>'FY21 w YOY comp'!P62</f>
        <v xml:space="preserve">        9.5 mo pro-rated:</v>
      </c>
      <c r="M60" s="148">
        <f>'FY21 w YOY comp'!Q62</f>
        <v>79852.25</v>
      </c>
      <c r="N60" s="142">
        <f>'FY21 w YOY comp'!S62</f>
        <v>0</v>
      </c>
      <c r="O60" s="142">
        <f>'FY21 w YOY comp'!T62</f>
        <v>0</v>
      </c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</row>
    <row r="61" spans="1:27" ht="15.75" hidden="1" customHeight="1" x14ac:dyDescent="0.25">
      <c r="A61" s="83" t="str">
        <f>'FY21 w YOY comp'!A63</f>
        <v xml:space="preserve">         3015 Salary</v>
      </c>
      <c r="B61" s="85">
        <f>'FY21 w YOY comp'!B63</f>
        <v>40085.800000000003</v>
      </c>
      <c r="C61" s="85">
        <f>'FY21 w YOY comp'!C63</f>
        <v>43429.69</v>
      </c>
      <c r="D61" s="85">
        <f>'FY21 w YOY comp'!D63</f>
        <v>44205.760000000002</v>
      </c>
      <c r="E61" s="85">
        <f>'FY21 w YOY comp'!E63</f>
        <v>45652.38</v>
      </c>
      <c r="F61" s="85">
        <f>'FY21 w YOY comp'!F63</f>
        <v>46492.7</v>
      </c>
      <c r="G61" s="85">
        <f>'FY21 w YOY comp'!G63</f>
        <v>47291.8</v>
      </c>
      <c r="H61" s="86">
        <f>'FY21 w YOY comp'!I63</f>
        <v>48820</v>
      </c>
      <c r="I61" s="85">
        <f>'FY21 w YOY comp'!H63</f>
        <v>47291.8</v>
      </c>
      <c r="J61" s="87">
        <f>'FY21 w YOY comp'!K63</f>
        <v>59524.992413686326</v>
      </c>
      <c r="K61" s="312">
        <f>'FY21 w YOY comp'!O63</f>
        <v>48820</v>
      </c>
      <c r="L61" s="318" t="str">
        <f>'FY21 w YOY comp'!P63</f>
        <v>2020 comp</v>
      </c>
      <c r="M61" s="313">
        <f>'FY21 w YOY comp'!Q63</f>
        <v>62342.095680445884</v>
      </c>
      <c r="N61" s="313">
        <f>'FY21 w YOY comp'!S63</f>
        <v>66020.279325592186</v>
      </c>
      <c r="O61" s="1">
        <f>'FY21 w YOY comp'!T63</f>
        <v>0</v>
      </c>
      <c r="P61" s="1"/>
      <c r="Q61" s="1"/>
      <c r="R61" s="90"/>
      <c r="S61" s="90"/>
      <c r="T61" s="90"/>
      <c r="U61" s="90"/>
      <c r="V61" s="90"/>
      <c r="W61" s="90"/>
      <c r="X61" s="90"/>
      <c r="Y61" s="90"/>
      <c r="Z61" s="90"/>
      <c r="AA61" s="90"/>
    </row>
    <row r="62" spans="1:27" ht="15.75" hidden="1" customHeight="1" x14ac:dyDescent="0.25">
      <c r="A62" s="83" t="str">
        <f>'FY21 w YOY comp'!A64</f>
        <v xml:space="preserve">            3015A Supplemental Life Premium</v>
      </c>
      <c r="B62" s="85">
        <f>'FY21 w YOY comp'!B64</f>
        <v>96.72</v>
      </c>
      <c r="C62" s="85">
        <f>'FY21 w YOY comp'!C64</f>
        <v>96.97</v>
      </c>
      <c r="D62" s="85">
        <f>'FY21 w YOY comp'!D64</f>
        <v>102.97</v>
      </c>
      <c r="E62" s="85">
        <f>'FY21 w YOY comp'!E64</f>
        <v>108.97</v>
      </c>
      <c r="F62" s="85">
        <f>'FY21 w YOY comp'!F64</f>
        <v>112.97</v>
      </c>
      <c r="G62" s="85">
        <f>'FY21 w YOY comp'!G64</f>
        <v>114.72</v>
      </c>
      <c r="H62" s="86">
        <f>'FY21 w YOY comp'!I64</f>
        <v>0</v>
      </c>
      <c r="I62" s="85">
        <f>'FY21 w YOY comp'!H64</f>
        <v>114.72</v>
      </c>
      <c r="J62" s="87">
        <f>'FY21 w YOY comp'!K64</f>
        <v>0</v>
      </c>
      <c r="K62" s="160" t="e">
        <f t="shared" ref="K62:L62" si="0">#REF!</f>
        <v>#REF!</v>
      </c>
      <c r="L62" s="318" t="e">
        <f t="shared" si="0"/>
        <v>#REF!</v>
      </c>
      <c r="M62" s="318">
        <f>'FY21 w YOY comp'!Q64</f>
        <v>0</v>
      </c>
      <c r="N62" s="90">
        <f>'FY21 w YOY comp'!S64</f>
        <v>0</v>
      </c>
      <c r="O62" s="90">
        <f>'FY21 w YOY comp'!T64</f>
        <v>0</v>
      </c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</row>
    <row r="63" spans="1:27" ht="15.75" hidden="1" customHeight="1" x14ac:dyDescent="0.25">
      <c r="A63" s="83" t="str">
        <f>'FY21 w YOY comp'!A65</f>
        <v xml:space="preserve">            3015B Healthcare FSA</v>
      </c>
      <c r="B63" s="85">
        <f>'FY21 w YOY comp'!B65</f>
        <v>499.92</v>
      </c>
      <c r="C63" s="85">
        <f>'FY21 w YOY comp'!C65</f>
        <v>770.83</v>
      </c>
      <c r="D63" s="85">
        <f>'FY21 w YOY comp'!D65</f>
        <v>1020.68</v>
      </c>
      <c r="E63" s="85">
        <f>'FY21 w YOY comp'!E65</f>
        <v>1500</v>
      </c>
      <c r="F63" s="85">
        <f>'FY21 w YOY comp'!F65</f>
        <v>1500</v>
      </c>
      <c r="G63" s="85">
        <f>'FY21 w YOY comp'!G65</f>
        <v>1500</v>
      </c>
      <c r="H63" s="86">
        <f>'FY21 w YOY comp'!I65</f>
        <v>0</v>
      </c>
      <c r="I63" s="85">
        <f>'FY21 w YOY comp'!H65</f>
        <v>1500</v>
      </c>
      <c r="J63" s="87">
        <f>'FY21 w YOY comp'!K65</f>
        <v>0</v>
      </c>
      <c r="K63" s="319">
        <f>'FY21 w YOY comp'!P64</f>
        <v>10170.833333333334</v>
      </c>
      <c r="L63" s="90">
        <f>'FY21 w YOY comp'!P65</f>
        <v>0</v>
      </c>
      <c r="M63" s="90">
        <f>'FY21 w YOY comp'!Q65</f>
        <v>0</v>
      </c>
      <c r="N63" s="90">
        <f>'FY21 w YOY comp'!S65</f>
        <v>0</v>
      </c>
      <c r="O63" s="90">
        <f>'FY21 w YOY comp'!T65</f>
        <v>0</v>
      </c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</row>
    <row r="64" spans="1:27" ht="15.75" hidden="1" customHeight="1" x14ac:dyDescent="0.25">
      <c r="A64" s="83" t="str">
        <f>'FY21 w YOY comp'!A66</f>
        <v xml:space="preserve">            3015C Dependent Daycare FSA</v>
      </c>
      <c r="B64" s="85">
        <f>'FY21 w YOY comp'!B66</f>
        <v>999.84</v>
      </c>
      <c r="C64" s="85">
        <f>'FY21 w YOY comp'!C66</f>
        <v>729.17</v>
      </c>
      <c r="D64" s="85">
        <f>'FY21 w YOY comp'!D66</f>
        <v>499.92</v>
      </c>
      <c r="E64" s="85">
        <f>'FY21 w YOY comp'!E66</f>
        <v>499.92</v>
      </c>
      <c r="F64" s="85">
        <f>'FY21 w YOY comp'!F66</f>
        <v>354.11</v>
      </c>
      <c r="G64" s="85">
        <f>'FY21 w YOY comp'!G66</f>
        <v>187.47</v>
      </c>
      <c r="H64" s="86">
        <f>'FY21 w YOY comp'!I66</f>
        <v>0</v>
      </c>
      <c r="I64" s="85">
        <f>'FY21 w YOY comp'!H66</f>
        <v>187.47</v>
      </c>
      <c r="J64" s="87">
        <f>'FY21 w YOY comp'!K66</f>
        <v>0</v>
      </c>
      <c r="K64" s="160">
        <f>'FY21 w YOY comp'!O66</f>
        <v>0</v>
      </c>
      <c r="L64" s="90">
        <f>'FY21 w YOY comp'!P66</f>
        <v>0</v>
      </c>
      <c r="M64" s="90">
        <f>'FY21 w YOY comp'!Q66</f>
        <v>0</v>
      </c>
      <c r="N64" s="90">
        <f>'FY21 w YOY comp'!S66</f>
        <v>0</v>
      </c>
      <c r="O64" s="90">
        <f>'FY21 w YOY comp'!T66</f>
        <v>0</v>
      </c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</row>
    <row r="65" spans="1:27" ht="15.75" hidden="1" customHeight="1" x14ac:dyDescent="0.25">
      <c r="A65" s="133" t="str">
        <f>'FY21 w YOY comp'!A67</f>
        <v xml:space="preserve">         Total 3015 Salary</v>
      </c>
      <c r="B65" s="161">
        <f>'FY21 w YOY comp'!B67</f>
        <v>41682.28</v>
      </c>
      <c r="C65" s="161">
        <f>'FY21 w YOY comp'!C67</f>
        <v>45026.66</v>
      </c>
      <c r="D65" s="161">
        <f>'FY21 w YOY comp'!D67</f>
        <v>45829.33</v>
      </c>
      <c r="E65" s="161">
        <f>'FY21 w YOY comp'!E67</f>
        <v>47761.27</v>
      </c>
      <c r="F65" s="161">
        <f>'FY21 w YOY comp'!F67</f>
        <v>48459.78</v>
      </c>
      <c r="G65" s="161">
        <f>'FY21 w YOY comp'!G67</f>
        <v>49093.990000000005</v>
      </c>
      <c r="H65" s="161">
        <f>'FY21 w YOY comp'!I67</f>
        <v>48820</v>
      </c>
      <c r="I65" s="161">
        <f>'FY21 w YOY comp'!H67</f>
        <v>49093.990000000005</v>
      </c>
      <c r="J65" s="314">
        <f>'FY21 w YOY comp'!K67</f>
        <v>59524.992413686326</v>
      </c>
      <c r="K65" s="142" t="str">
        <f>'FY21 w YOY comp'!O67</f>
        <v>Divided among 3015, 3016 and 3019</v>
      </c>
      <c r="L65" s="142">
        <f>'FY21 w YOY comp'!P67</f>
        <v>0</v>
      </c>
      <c r="M65" s="315">
        <f>'FY21 w YOY comp'!Q67</f>
        <v>62342.095680445884</v>
      </c>
      <c r="N65" s="135">
        <f>'FY21 w YOY comp'!S67</f>
        <v>66020.279325592186</v>
      </c>
      <c r="O65" s="142">
        <f>'FY21 w YOY comp'!T67</f>
        <v>0</v>
      </c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</row>
    <row r="66" spans="1:27" ht="15.75" hidden="1" customHeight="1" x14ac:dyDescent="0.25">
      <c r="A66" s="133" t="str">
        <f>'FY21 w YOY comp'!A68</f>
        <v xml:space="preserve">         3016 Housing/Furnishings Allowance</v>
      </c>
      <c r="B66" s="143">
        <f>'FY21 w YOY comp'!B68</f>
        <v>14166.68</v>
      </c>
      <c r="C66" s="143">
        <f>'FY21 w YOY comp'!C68</f>
        <v>12000</v>
      </c>
      <c r="D66" s="143">
        <f>'FY21 w YOY comp'!D68</f>
        <v>12000</v>
      </c>
      <c r="E66" s="143">
        <f>'FY21 w YOY comp'!E68</f>
        <v>12000</v>
      </c>
      <c r="F66" s="143">
        <f>'FY21 w YOY comp'!F68</f>
        <v>12000</v>
      </c>
      <c r="G66" s="143">
        <f>'FY21 w YOY comp'!G68</f>
        <v>12000</v>
      </c>
      <c r="H66" s="135">
        <f>'FY21 w YOY comp'!I68</f>
        <v>12000</v>
      </c>
      <c r="I66" s="135">
        <f>'FY21 w YOY comp'!H68</f>
        <v>12000</v>
      </c>
      <c r="J66" s="137">
        <f>'FY21 w YOY comp'!K68</f>
        <v>27323.5</v>
      </c>
      <c r="K66" s="142">
        <f>'FY21 w YOY comp'!O68</f>
        <v>12000</v>
      </c>
      <c r="L66" s="142">
        <f>'FY21 w YOY comp'!P68</f>
        <v>2500</v>
      </c>
      <c r="M66" s="177">
        <f>'FY21 w YOY comp'!Q68</f>
        <v>31356</v>
      </c>
      <c r="N66" s="135">
        <f>'FY21 w YOY comp'!S68</f>
        <v>33206.004000000001</v>
      </c>
      <c r="O66" s="142">
        <f>'FY21 w YOY comp'!T68</f>
        <v>0</v>
      </c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</row>
    <row r="67" spans="1:27" ht="15.75" hidden="1" customHeight="1" x14ac:dyDescent="0.25">
      <c r="A67" s="133" t="str">
        <f>'FY21 w YOY comp'!A69</f>
        <v xml:space="preserve">         3017 Pension</v>
      </c>
      <c r="B67" s="143">
        <f>'FY21 w YOY comp'!B69</f>
        <v>9372.14</v>
      </c>
      <c r="C67" s="143">
        <f>'FY21 w YOY comp'!C69</f>
        <v>9095.64</v>
      </c>
      <c r="D67" s="143">
        <f>'FY21 w YOY comp'!D69</f>
        <v>9274.11</v>
      </c>
      <c r="E67" s="143">
        <f>'FY21 w YOY comp'!E69</f>
        <v>9588.7199999999993</v>
      </c>
      <c r="F67" s="143">
        <f>'FY21 w YOY comp'!F69</f>
        <v>9712.85</v>
      </c>
      <c r="G67" s="143">
        <f>'FY21 w YOY comp'!G69</f>
        <v>9768.01</v>
      </c>
      <c r="H67" s="167">
        <f>'FY21 w YOY comp'!I69</f>
        <v>9781.7999999999993</v>
      </c>
      <c r="I67" s="135">
        <f>'FY21 w YOY comp'!H69</f>
        <v>9768.01</v>
      </c>
      <c r="J67" s="168">
        <f>'FY21 w YOY comp'!K69</f>
        <v>11523.39</v>
      </c>
      <c r="K67" s="310">
        <f>'FY21 w YOY comp'!O69</f>
        <v>815.15</v>
      </c>
      <c r="L67" s="142" t="str">
        <f>'FY21 w YOY comp'!P69</f>
        <v>per month</v>
      </c>
      <c r="M67" s="320" t="str">
        <f>'FY21 w YOY comp'!Q69</f>
        <v>1008.66 per mo</v>
      </c>
      <c r="N67" s="149">
        <f>'FY21 w YOY comp'!S69</f>
        <v>1068.1709399999997</v>
      </c>
      <c r="O67" s="135" t="str">
        <f>'FY21 w YOY comp'!T69</f>
        <v>per month</v>
      </c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</row>
    <row r="68" spans="1:27" ht="15.75" hidden="1" customHeight="1" x14ac:dyDescent="0.25">
      <c r="A68" s="133" t="str">
        <f>'FY21 w YOY comp'!A70</f>
        <v xml:space="preserve">         3018 Disability &amp; Group Life</v>
      </c>
      <c r="B68" s="143">
        <f>'FY21 w YOY comp'!B70</f>
        <v>3514.55</v>
      </c>
      <c r="C68" s="143">
        <f>'FY21 w YOY comp'!C70</f>
        <v>3030.45</v>
      </c>
      <c r="D68" s="143">
        <f>'FY21 w YOY comp'!D70</f>
        <v>3091.37</v>
      </c>
      <c r="E68" s="143">
        <f>'FY21 w YOY comp'!E70</f>
        <v>2716.9</v>
      </c>
      <c r="F68" s="143">
        <f>'FY21 w YOY comp'!F70</f>
        <v>2385.7399999999998</v>
      </c>
      <c r="G68" s="143">
        <f>'FY21 w YOY comp'!G70</f>
        <v>2075.2600000000002</v>
      </c>
      <c r="H68" s="167">
        <f>'FY21 w YOY comp'!I70</f>
        <v>2363.88</v>
      </c>
      <c r="I68" s="135">
        <f>'FY21 w YOY comp'!H70</f>
        <v>2075.2600000000002</v>
      </c>
      <c r="J68" s="168">
        <f>'FY21 w YOY comp'!K70</f>
        <v>2112.6089999999999</v>
      </c>
      <c r="K68" s="310">
        <f>'FY21 w YOY comp'!O70</f>
        <v>149.44</v>
      </c>
      <c r="L68" s="142" t="str">
        <f>'FY21 w YOY comp'!P70</f>
        <v>per month</v>
      </c>
      <c r="M68" s="320" t="str">
        <f>'FY21 w YOY comp'!Q70</f>
        <v>184.92 per mo</v>
      </c>
      <c r="N68" s="149">
        <f>'FY21 w YOY comp'!S70</f>
        <v>195.83133899999996</v>
      </c>
      <c r="O68" s="135" t="str">
        <f>'FY21 w YOY comp'!T70</f>
        <v>per month</v>
      </c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</row>
    <row r="69" spans="1:27" ht="15.75" hidden="1" customHeight="1" x14ac:dyDescent="0.25">
      <c r="A69" s="133" t="str">
        <f>'FY21 w YOY comp'!A71</f>
        <v xml:space="preserve">         3019 Social Security &amp; Medicare Allowance</v>
      </c>
      <c r="B69" s="143">
        <f>'FY21 w YOY comp'!B71</f>
        <v>4272.95</v>
      </c>
      <c r="C69" s="143">
        <f>'FY21 w YOY comp'!C71</f>
        <v>4363.25</v>
      </c>
      <c r="D69" s="143">
        <f>'FY21 w YOY comp'!D71</f>
        <v>4424.54</v>
      </c>
      <c r="E69" s="143">
        <f>'FY21 w YOY comp'!E71</f>
        <v>4571.71</v>
      </c>
      <c r="F69" s="143">
        <f>'FY21 w YOY comp'!F71</f>
        <v>4624.6499999999996</v>
      </c>
      <c r="G69" s="143">
        <f>'FY21 w YOY comp'!G71</f>
        <v>4649.53</v>
      </c>
      <c r="H69" s="135">
        <f>'FY21 w YOY comp'!I71</f>
        <v>4652.7299999999996</v>
      </c>
      <c r="I69" s="135">
        <f>'FY21 w YOY comp'!H71</f>
        <v>4649.53</v>
      </c>
      <c r="J69" s="137">
        <f>'FY21 w YOY comp'!K71</f>
        <v>6643.9659196470038</v>
      </c>
      <c r="K69" s="316">
        <f>'FY21 w YOY comp'!O71</f>
        <v>4653</v>
      </c>
      <c r="L69" s="210">
        <f>'FY21 w YOY comp'!P71</f>
        <v>969.375</v>
      </c>
      <c r="M69" s="177">
        <f>'FY21 w YOY comp'!Q71</f>
        <v>7167.9043195541099</v>
      </c>
      <c r="N69" s="135">
        <f>'FY21 w YOY comp'!S71</f>
        <v>7590.8106744078023</v>
      </c>
      <c r="O69" s="142">
        <f>'FY21 w YOY comp'!T71</f>
        <v>0</v>
      </c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</row>
    <row r="70" spans="1:27" ht="15.75" hidden="1" customHeight="1" x14ac:dyDescent="0.25">
      <c r="A70" s="122" t="str">
        <f>'FY21 w YOY comp'!A72</f>
        <v xml:space="preserve">      Total 3010 Pastor Salary &amp; Benefits</v>
      </c>
      <c r="B70" s="178">
        <f>'FY21 w YOY comp'!B72</f>
        <v>98066.62000000001</v>
      </c>
      <c r="C70" s="178">
        <f>'FY21 w YOY comp'!C72</f>
        <v>100481.17</v>
      </c>
      <c r="D70" s="178">
        <f>'FY21 w YOY comp'!D72</f>
        <v>103433.65999999999</v>
      </c>
      <c r="E70" s="178">
        <f>'FY21 w YOY comp'!E72</f>
        <v>107739.65</v>
      </c>
      <c r="F70" s="178">
        <f>'FY21 w YOY comp'!F72</f>
        <v>109507.2</v>
      </c>
      <c r="G70" s="178">
        <f>'FY21 w YOY comp'!G72</f>
        <v>110520.81</v>
      </c>
      <c r="H70" s="178">
        <f>'FY21 w YOY comp'!I72</f>
        <v>110555.86</v>
      </c>
      <c r="I70" s="178">
        <f>'FY21 w YOY comp'!H72</f>
        <v>110520.81</v>
      </c>
      <c r="J70" s="180">
        <f>'FY21 w YOY comp'!K72</f>
        <v>140667.82733333332</v>
      </c>
      <c r="K70" s="131" t="str">
        <f>'FY21 w YOY comp'!O72</f>
        <v>2021 salary is 2.5 months 2020 salary &amp; 9.5 months new 2021 salary; 10,170.83 plus 2500 plus 969.38 plus 79,852 equals 93,492. times  1.059 equals 99,008</v>
      </c>
      <c r="L70" s="184">
        <f>'FY21 w YOY comp'!P72</f>
        <v>0</v>
      </c>
      <c r="M70" s="131">
        <f>'FY21 w YOY comp'!Q72</f>
        <v>0</v>
      </c>
      <c r="N70" s="131">
        <f>'FY21 w YOY comp'!R72</f>
        <v>0</v>
      </c>
      <c r="O70" s="131">
        <f>'FY21 w YOY comp'!S72</f>
        <v>0</v>
      </c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</row>
    <row r="71" spans="1:27" ht="15.75" hidden="1" customHeight="1" x14ac:dyDescent="0.25">
      <c r="A71" s="46" t="str">
        <f>'FY21 w YOY comp'!A73</f>
        <v xml:space="preserve">      3020 Pastor Reimbursement</v>
      </c>
      <c r="B71" s="21">
        <f>'FY21 w YOY comp'!B73</f>
        <v>0</v>
      </c>
      <c r="C71" s="21">
        <f>'FY21 w YOY comp'!C73</f>
        <v>0</v>
      </c>
      <c r="D71" s="21">
        <f>'FY21 w YOY comp'!D73</f>
        <v>0</v>
      </c>
      <c r="E71" s="21">
        <f>'FY21 w YOY comp'!E73</f>
        <v>0</v>
      </c>
      <c r="F71" s="21">
        <f>'FY21 w YOY comp'!F73</f>
        <v>0</v>
      </c>
      <c r="G71" s="21">
        <f>'FY21 w YOY comp'!G73</f>
        <v>0</v>
      </c>
      <c r="H71" s="22">
        <f>'FY21 w YOY comp'!I73</f>
        <v>0</v>
      </c>
      <c r="I71" s="22">
        <f>'FY21 w YOY comp'!H73</f>
        <v>0</v>
      </c>
      <c r="J71" s="24">
        <f>'FY21 w YOY comp'!K73</f>
        <v>0</v>
      </c>
      <c r="K71" s="1">
        <f>'FY21 w YOY comp'!O73</f>
        <v>0</v>
      </c>
      <c r="L71" s="1">
        <f>'FY21 w YOY comp'!P73</f>
        <v>0</v>
      </c>
      <c r="M71" s="1">
        <f>'FY21 w YOY comp'!Q73</f>
        <v>0</v>
      </c>
      <c r="N71" s="1">
        <f>'FY21 w YOY comp'!R73</f>
        <v>0</v>
      </c>
      <c r="O71" s="1">
        <f>'FY21 w YOY comp'!S73</f>
        <v>0</v>
      </c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hidden="1" customHeight="1" x14ac:dyDescent="0.25">
      <c r="A72" s="46" t="str">
        <f>'FY21 w YOY comp'!A74</f>
        <v xml:space="preserve">         3021 Cell Phone Business Use</v>
      </c>
      <c r="B72" s="47">
        <f>'FY21 w YOY comp'!B74</f>
        <v>900</v>
      </c>
      <c r="C72" s="47">
        <f>'FY21 w YOY comp'!C74</f>
        <v>900</v>
      </c>
      <c r="D72" s="47">
        <f>'FY21 w YOY comp'!D74</f>
        <v>900</v>
      </c>
      <c r="E72" s="47">
        <f>'FY21 w YOY comp'!E74</f>
        <v>644.11</v>
      </c>
      <c r="F72" s="47">
        <f>'FY21 w YOY comp'!F74</f>
        <v>767.5</v>
      </c>
      <c r="G72" s="47">
        <f>'FY21 w YOY comp'!G74</f>
        <v>900</v>
      </c>
      <c r="H72" s="185">
        <f>'FY21 w YOY comp'!I74</f>
        <v>900</v>
      </c>
      <c r="I72" s="22">
        <f>'FY21 w YOY comp'!H74</f>
        <v>900</v>
      </c>
      <c r="J72" s="187">
        <f>'FY21 w YOY comp'!K74</f>
        <v>900</v>
      </c>
      <c r="K72" s="190" t="str">
        <f>'FY21 w YOY comp'!O74</f>
        <v>$75/month</v>
      </c>
      <c r="L72" s="1">
        <f>'FY21 w YOY comp'!P74</f>
        <v>0</v>
      </c>
      <c r="M72" s="1">
        <f>'FY21 w YOY comp'!Q74</f>
        <v>0</v>
      </c>
      <c r="N72" s="1">
        <f>'FY21 w YOY comp'!R74</f>
        <v>0</v>
      </c>
      <c r="O72" s="1">
        <f>'FY21 w YOY comp'!S74</f>
        <v>0</v>
      </c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hidden="1" customHeight="1" x14ac:dyDescent="0.25">
      <c r="A73" s="46" t="str">
        <f>'FY21 w YOY comp'!A75</f>
        <v xml:space="preserve">         3022 Auto Use</v>
      </c>
      <c r="B73" s="47">
        <f>'FY21 w YOY comp'!B75</f>
        <v>1638.28</v>
      </c>
      <c r="C73" s="47">
        <f>'FY21 w YOY comp'!C75</f>
        <v>2524.0100000000002</v>
      </c>
      <c r="D73" s="47">
        <f>'FY21 w YOY comp'!D75</f>
        <v>2226.27</v>
      </c>
      <c r="E73" s="47">
        <f>'FY21 w YOY comp'!E75</f>
        <v>1446.84</v>
      </c>
      <c r="F73" s="47">
        <f>'FY21 w YOY comp'!F75</f>
        <v>625.08000000000004</v>
      </c>
      <c r="G73" s="47">
        <f>'FY21 w YOY comp'!G75</f>
        <v>509.28</v>
      </c>
      <c r="H73" s="22">
        <f>'FY21 w YOY comp'!I75</f>
        <v>1245</v>
      </c>
      <c r="I73" s="22">
        <f>'FY21 w YOY comp'!H75</f>
        <v>509.28</v>
      </c>
      <c r="J73" s="24">
        <f>'FY21 w YOY comp'!K75</f>
        <v>650</v>
      </c>
      <c r="K73" s="1">
        <f>'FY21 w YOY comp'!O75</f>
        <v>0</v>
      </c>
      <c r="L73" s="1">
        <f>'FY21 w YOY comp'!P75</f>
        <v>0</v>
      </c>
      <c r="M73" s="1">
        <f>'FY21 w YOY comp'!Q75</f>
        <v>0</v>
      </c>
      <c r="N73" s="1">
        <f>'FY21 w YOY comp'!R75</f>
        <v>0</v>
      </c>
      <c r="O73" s="1">
        <f>'FY21 w YOY comp'!S75</f>
        <v>0</v>
      </c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hidden="1" customHeight="1" x14ac:dyDescent="0.25">
      <c r="A74" s="46" t="str">
        <f>'FY21 w YOY comp'!A76</f>
        <v xml:space="preserve">         3023 Meeting</v>
      </c>
      <c r="B74" s="47">
        <f>'FY21 w YOY comp'!B76</f>
        <v>908.9</v>
      </c>
      <c r="C74" s="47">
        <f>'FY21 w YOY comp'!C76</f>
        <v>641.96</v>
      </c>
      <c r="D74" s="47">
        <f>'FY21 w YOY comp'!D76</f>
        <v>504.83</v>
      </c>
      <c r="E74" s="47">
        <f>'FY21 w YOY comp'!E76</f>
        <v>329.54</v>
      </c>
      <c r="F74" s="47">
        <f>'FY21 w YOY comp'!F76</f>
        <v>303.93</v>
      </c>
      <c r="G74" s="47">
        <f>'FY21 w YOY comp'!G76</f>
        <v>253.93</v>
      </c>
      <c r="H74" s="22">
        <f>'FY21 w YOY comp'!I76</f>
        <v>1040</v>
      </c>
      <c r="I74" s="22">
        <f>'FY21 w YOY comp'!H76</f>
        <v>253.93</v>
      </c>
      <c r="J74" s="24">
        <f>'FY21 w YOY comp'!K76</f>
        <v>350</v>
      </c>
      <c r="K74" s="1">
        <f>'FY21 w YOY comp'!O76</f>
        <v>0</v>
      </c>
      <c r="L74" s="1">
        <f>'FY21 w YOY comp'!P76</f>
        <v>0</v>
      </c>
      <c r="M74" s="1">
        <f>'FY21 w YOY comp'!Q76</f>
        <v>0</v>
      </c>
      <c r="N74" s="1">
        <f>'FY21 w YOY comp'!R76</f>
        <v>0</v>
      </c>
      <c r="O74" s="1">
        <f>'FY21 w YOY comp'!S76</f>
        <v>0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hidden="1" customHeight="1" x14ac:dyDescent="0.25">
      <c r="A75" s="46" t="str">
        <f>'FY21 w YOY comp'!A77</f>
        <v xml:space="preserve">         3024 Continuing Ed</v>
      </c>
      <c r="B75" s="47">
        <f>'FY21 w YOY comp'!B77</f>
        <v>820.64</v>
      </c>
      <c r="C75" s="47">
        <f>'FY21 w YOY comp'!C77</f>
        <v>690.76</v>
      </c>
      <c r="D75" s="47">
        <f>'FY21 w YOY comp'!D77</f>
        <v>1352.96</v>
      </c>
      <c r="E75" s="47">
        <f>'FY21 w YOY comp'!E77</f>
        <v>380.65</v>
      </c>
      <c r="F75" s="47">
        <f>'FY21 w YOY comp'!F77</f>
        <v>68.510000000000005</v>
      </c>
      <c r="G75" s="47">
        <f>'FY21 w YOY comp'!G77</f>
        <v>144.06</v>
      </c>
      <c r="H75" s="22">
        <f>'FY21 w YOY comp'!I77</f>
        <v>2000</v>
      </c>
      <c r="I75" s="22">
        <f>'FY21 w YOY comp'!H77</f>
        <v>144.06</v>
      </c>
      <c r="J75" s="24">
        <f>'FY21 w YOY comp'!K77</f>
        <v>500</v>
      </c>
      <c r="K75" s="1">
        <f>'FY21 w YOY comp'!O77</f>
        <v>0</v>
      </c>
      <c r="L75" s="1">
        <f>'FY21 w YOY comp'!P77</f>
        <v>0</v>
      </c>
      <c r="M75" s="1">
        <f>'FY21 w YOY comp'!Q77</f>
        <v>0</v>
      </c>
      <c r="N75" s="1">
        <f>'FY21 w YOY comp'!R77</f>
        <v>0</v>
      </c>
      <c r="O75" s="1">
        <f>'FY21 w YOY comp'!S77</f>
        <v>0</v>
      </c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hidden="1" customHeight="1" x14ac:dyDescent="0.25">
      <c r="A76" s="46" t="str">
        <f>'FY21 w YOY comp'!A78</f>
        <v xml:space="preserve">         3026 Coaching</v>
      </c>
      <c r="B76" s="47">
        <f>'FY21 w YOY comp'!B78</f>
        <v>0</v>
      </c>
      <c r="C76" s="47">
        <f>'FY21 w YOY comp'!C78</f>
        <v>0</v>
      </c>
      <c r="D76" s="47">
        <f>'FY21 w YOY comp'!D78</f>
        <v>0</v>
      </c>
      <c r="E76" s="47">
        <f>'FY21 w YOY comp'!E78</f>
        <v>0</v>
      </c>
      <c r="F76" s="47">
        <f>'FY21 w YOY comp'!F78</f>
        <v>0</v>
      </c>
      <c r="G76" s="47">
        <f>'FY21 w YOY comp'!G78</f>
        <v>500</v>
      </c>
      <c r="H76" s="22">
        <f>'FY21 w YOY comp'!I78</f>
        <v>800</v>
      </c>
      <c r="I76" s="22">
        <f>'FY21 w YOY comp'!H78</f>
        <v>500</v>
      </c>
      <c r="J76" s="24">
        <f>'FY21 w YOY comp'!K78</f>
        <v>250</v>
      </c>
      <c r="K76" s="1">
        <f>'FY21 w YOY comp'!O78</f>
        <v>0</v>
      </c>
      <c r="L76" s="1">
        <f>'FY21 w YOY comp'!P78</f>
        <v>0</v>
      </c>
      <c r="M76" s="1">
        <f>'FY21 w YOY comp'!Q78</f>
        <v>0</v>
      </c>
      <c r="N76" s="1">
        <f>'FY21 w YOY comp'!R78</f>
        <v>0</v>
      </c>
      <c r="O76" s="1">
        <f>'FY21 w YOY comp'!S78</f>
        <v>0</v>
      </c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hidden="1" customHeight="1" x14ac:dyDescent="0.25">
      <c r="A77" s="46" t="str">
        <f>'FY21 w YOY comp'!A79</f>
        <v xml:space="preserve">         3027 Spiritual Director</v>
      </c>
      <c r="B77" s="47">
        <f>'FY21 w YOY comp'!B79</f>
        <v>0</v>
      </c>
      <c r="C77" s="47">
        <f>'FY21 w YOY comp'!C79</f>
        <v>0</v>
      </c>
      <c r="D77" s="47">
        <f>'FY21 w YOY comp'!D79</f>
        <v>0</v>
      </c>
      <c r="E77" s="47">
        <f>'FY21 w YOY comp'!E79</f>
        <v>0</v>
      </c>
      <c r="F77" s="47">
        <f>'FY21 w YOY comp'!F79</f>
        <v>0</v>
      </c>
      <c r="G77" s="47">
        <f>'FY21 w YOY comp'!G79</f>
        <v>0</v>
      </c>
      <c r="H77" s="22">
        <f>'FY21 w YOY comp'!I79</f>
        <v>800</v>
      </c>
      <c r="I77" s="22">
        <f>'FY21 w YOY comp'!H79</f>
        <v>0</v>
      </c>
      <c r="J77" s="24">
        <f>'FY21 w YOY comp'!K79</f>
        <v>250</v>
      </c>
      <c r="K77" s="1">
        <f>'FY21 w YOY comp'!O79</f>
        <v>0</v>
      </c>
      <c r="L77" s="1">
        <f>'FY21 w YOY comp'!P79</f>
        <v>0</v>
      </c>
      <c r="M77" s="1">
        <f>'FY21 w YOY comp'!Q79</f>
        <v>0</v>
      </c>
      <c r="N77" s="1">
        <f>'FY21 w YOY comp'!R79</f>
        <v>0</v>
      </c>
      <c r="O77" s="1">
        <f>'FY21 w YOY comp'!S79</f>
        <v>0</v>
      </c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hidden="1" customHeight="1" x14ac:dyDescent="0.25">
      <c r="A78" s="46" t="str">
        <f>'FY21 w YOY comp'!A80</f>
        <v xml:space="preserve">         3028 Emotional Wellness</v>
      </c>
      <c r="B78" s="21">
        <f>'FY21 w YOY comp'!B80</f>
        <v>0</v>
      </c>
      <c r="C78" s="21">
        <f>'FY21 w YOY comp'!C80</f>
        <v>0</v>
      </c>
      <c r="D78" s="21">
        <f>'FY21 w YOY comp'!D80</f>
        <v>0</v>
      </c>
      <c r="E78" s="47">
        <f>'FY21 w YOY comp'!E80</f>
        <v>600</v>
      </c>
      <c r="F78" s="47">
        <f>'FY21 w YOY comp'!F80</f>
        <v>600</v>
      </c>
      <c r="G78" s="47">
        <f>'FY21 w YOY comp'!G80</f>
        <v>600</v>
      </c>
      <c r="H78" s="22">
        <f>'FY21 w YOY comp'!I80</f>
        <v>800</v>
      </c>
      <c r="I78" s="22">
        <f>'FY21 w YOY comp'!H80</f>
        <v>600</v>
      </c>
      <c r="J78" s="24">
        <f>'FY21 w YOY comp'!K80</f>
        <v>800</v>
      </c>
      <c r="K78" s="1" t="str">
        <f>'FY21 w YOY comp'!O80</f>
        <v>1 vist/month for mental health visit</v>
      </c>
      <c r="L78" s="1">
        <f>'FY21 w YOY comp'!P80</f>
        <v>0</v>
      </c>
      <c r="M78" s="1">
        <f>'FY21 w YOY comp'!Q80</f>
        <v>0</v>
      </c>
      <c r="N78" s="1">
        <f>'FY21 w YOY comp'!R80</f>
        <v>0</v>
      </c>
      <c r="O78" s="1">
        <f>'FY21 w YOY comp'!S80</f>
        <v>0</v>
      </c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hidden="1" customHeight="1" x14ac:dyDescent="0.25">
      <c r="A79" s="122" t="str">
        <f>'FY21 w YOY comp'!A81</f>
        <v xml:space="preserve">      Total 3020 Pastor Reimbursement</v>
      </c>
      <c r="B79" s="178">
        <f>'FY21 w YOY comp'!B81</f>
        <v>4267.82</v>
      </c>
      <c r="C79" s="178">
        <f>'FY21 w YOY comp'!C81</f>
        <v>4756.7300000000005</v>
      </c>
      <c r="D79" s="178">
        <f>'FY21 w YOY comp'!D81</f>
        <v>4984.0599999999995</v>
      </c>
      <c r="E79" s="178">
        <f>'FY21 w YOY comp'!E81</f>
        <v>3401.14</v>
      </c>
      <c r="F79" s="178">
        <f>'FY21 w YOY comp'!F81</f>
        <v>2365.02</v>
      </c>
      <c r="G79" s="178">
        <f>'FY21 w YOY comp'!G81</f>
        <v>2907.27</v>
      </c>
      <c r="H79" s="178">
        <f>'FY21 w YOY comp'!I81</f>
        <v>7585</v>
      </c>
      <c r="I79" s="178">
        <f>'FY21 w YOY comp'!H81</f>
        <v>2907.27</v>
      </c>
      <c r="J79" s="180">
        <f>'FY21 w YOY comp'!K81</f>
        <v>3700</v>
      </c>
      <c r="K79" s="131">
        <f>'FY21 w YOY comp'!O81</f>
        <v>0</v>
      </c>
      <c r="L79" s="131">
        <f>'FY21 w YOY comp'!P81</f>
        <v>0</v>
      </c>
      <c r="M79" s="131">
        <f>'FY21 w YOY comp'!Q81</f>
        <v>0</v>
      </c>
      <c r="N79" s="131">
        <f>'FY21 w YOY comp'!R81</f>
        <v>0</v>
      </c>
      <c r="O79" s="131">
        <f>'FY21 w YOY comp'!S81</f>
        <v>0</v>
      </c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</row>
    <row r="80" spans="1:27" ht="15.75" hidden="1" customHeight="1" x14ac:dyDescent="0.25">
      <c r="A80" s="46" t="str">
        <f>'FY21 w YOY comp'!A82</f>
        <v xml:space="preserve">      3040 Employee Salaries and Wages</v>
      </c>
      <c r="B80" s="21">
        <f>'FY21 w YOY comp'!B82</f>
        <v>0</v>
      </c>
      <c r="C80" s="21">
        <f>'FY21 w YOY comp'!C82</f>
        <v>0</v>
      </c>
      <c r="D80" s="21">
        <f>'FY21 w YOY comp'!D82</f>
        <v>0</v>
      </c>
      <c r="E80" s="21">
        <f>'FY21 w YOY comp'!E82</f>
        <v>0</v>
      </c>
      <c r="F80" s="22">
        <f>'FY21 w YOY comp'!F82</f>
        <v>0</v>
      </c>
      <c r="G80" s="21">
        <f>'FY21 w YOY comp'!G82</f>
        <v>0</v>
      </c>
      <c r="H80" s="22">
        <f>'FY21 w YOY comp'!I82</f>
        <v>0</v>
      </c>
      <c r="I80" s="22">
        <f>'FY21 w YOY comp'!H82</f>
        <v>0</v>
      </c>
      <c r="J80" s="24">
        <f>'FY21 w YOY comp'!K82</f>
        <v>0</v>
      </c>
      <c r="K80" s="194" t="str">
        <f>'FY21 w YOY comp'!O82</f>
        <v>Hours</v>
      </c>
      <c r="L80" s="194" t="str">
        <f>'FY21 w YOY comp'!P82</f>
        <v>Prev Wage</v>
      </c>
      <c r="M80" s="195" t="str">
        <f>'FY21 w YOY comp'!Q82</f>
        <v>SSCOLA</v>
      </c>
      <c r="N80" s="194" t="str">
        <f>'FY21 w YOY comp'!R82</f>
        <v>New Wage</v>
      </c>
      <c r="O80" s="1" t="str">
        <f>'FY21 w YOY comp'!S82</f>
        <v>FY22 Wage &amp; Hours</v>
      </c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hidden="1" customHeight="1" x14ac:dyDescent="0.25">
      <c r="A81" s="133" t="str">
        <f>'FY21 w YOY comp'!A83</f>
        <v xml:space="preserve">         3040A Staffing NCC expanded ministry (deleted)</v>
      </c>
      <c r="B81" s="134">
        <f>'FY21 w YOY comp'!B83</f>
        <v>0</v>
      </c>
      <c r="C81" s="134">
        <f>'FY21 w YOY comp'!C83</f>
        <v>0</v>
      </c>
      <c r="D81" s="143">
        <f>'FY21 w YOY comp'!D83</f>
        <v>3040</v>
      </c>
      <c r="E81" s="134">
        <f>'FY21 w YOY comp'!E83</f>
        <v>0</v>
      </c>
      <c r="F81" s="135">
        <f>'FY21 w YOY comp'!F83</f>
        <v>0</v>
      </c>
      <c r="G81" s="134">
        <f>'FY21 w YOY comp'!G83</f>
        <v>0</v>
      </c>
      <c r="H81" s="22">
        <f>'FY21 w YOY comp'!I83</f>
        <v>0</v>
      </c>
      <c r="I81" s="135">
        <f>'FY21 w YOY comp'!H83</f>
        <v>0</v>
      </c>
      <c r="J81" s="61">
        <f>'FY21 w YOY comp'!K83</f>
        <v>0</v>
      </c>
      <c r="K81" s="142">
        <f>'FY21 w YOY comp'!O83</f>
        <v>0</v>
      </c>
      <c r="L81" s="142">
        <f>'FY21 w YOY comp'!P83</f>
        <v>0</v>
      </c>
      <c r="M81" s="195">
        <f>'FY21 w YOY comp'!Q83</f>
        <v>0</v>
      </c>
      <c r="N81" s="142">
        <f>'FY21 w YOY comp'!R83</f>
        <v>0</v>
      </c>
      <c r="O81" s="142">
        <f>'FY21 w YOY comp'!S83</f>
        <v>0</v>
      </c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</row>
    <row r="82" spans="1:27" ht="15.75" hidden="1" customHeight="1" x14ac:dyDescent="0.25">
      <c r="A82" s="83" t="str">
        <f>'FY21 w YOY comp'!A84</f>
        <v xml:space="preserve">         3041 Praise Band Leader</v>
      </c>
      <c r="B82" s="85">
        <f>'FY21 w YOY comp'!B84</f>
        <v>9547.2000000000007</v>
      </c>
      <c r="C82" s="85">
        <f>'FY21 w YOY comp'!C84</f>
        <v>9547.2000000000007</v>
      </c>
      <c r="D82" s="85">
        <f>'FY21 w YOY comp'!D84</f>
        <v>9547.2000000000007</v>
      </c>
      <c r="E82" s="85">
        <f>'FY21 w YOY comp'!E84</f>
        <v>9803.8799999999992</v>
      </c>
      <c r="F82" s="85">
        <f>'FY21 w YOY comp'!F84</f>
        <v>9913.14</v>
      </c>
      <c r="G82" s="85">
        <f>'FY21 w YOY comp'!G84</f>
        <v>9965.4599999999991</v>
      </c>
      <c r="H82" s="86">
        <f>'FY21 w YOY comp'!I84</f>
        <v>9972.0400000000009</v>
      </c>
      <c r="I82" s="82">
        <f>'FY21 w YOY comp'!H84</f>
        <v>9965.4599999999991</v>
      </c>
      <c r="J82" s="87">
        <f>'FY21 w YOY comp'!K84</f>
        <v>10370.921600000001</v>
      </c>
      <c r="K82" s="90">
        <f>'FY21 w YOY comp'!O84</f>
        <v>0</v>
      </c>
      <c r="L82" s="90">
        <f>'FY21 w YOY comp'!P84</f>
        <v>0</v>
      </c>
      <c r="M82" s="197">
        <f>'FY21 w YOY comp'!Q84</f>
        <v>1.04</v>
      </c>
      <c r="N82" s="90">
        <f>'FY21 w YOY comp'!R84</f>
        <v>0</v>
      </c>
      <c r="O82" s="90" t="str">
        <f>'FY21 w YOY comp'!S84</f>
        <v>1.059 cola</v>
      </c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</row>
    <row r="83" spans="1:27" ht="15.75" hidden="1" customHeight="1" x14ac:dyDescent="0.25">
      <c r="A83" s="83" t="str">
        <f>'FY21 w YOY comp'!A85</f>
        <v xml:space="preserve">            3041A Music Leader Extra Duty Pay</v>
      </c>
      <c r="B83" s="85">
        <f>'FY21 w YOY comp'!B85</f>
        <v>367.2</v>
      </c>
      <c r="C83" s="85">
        <f>'FY21 w YOY comp'!C85</f>
        <v>367.2</v>
      </c>
      <c r="D83" s="85">
        <f>'FY21 w YOY comp'!D85</f>
        <v>367.2</v>
      </c>
      <c r="E83" s="85">
        <f>'FY21 w YOY comp'!E85</f>
        <v>377.5</v>
      </c>
      <c r="F83" s="85">
        <f>'FY21 w YOY comp'!F85</f>
        <v>380.52</v>
      </c>
      <c r="G83" s="85">
        <f>'FY21 w YOY comp'!G85</f>
        <v>383.54</v>
      </c>
      <c r="H83" s="86">
        <f>'FY21 w YOY comp'!I85</f>
        <v>383.54</v>
      </c>
      <c r="I83" s="82">
        <f>'FY21 w YOY comp'!H85</f>
        <v>383.54</v>
      </c>
      <c r="J83" s="87">
        <f>'FY21 w YOY comp'!K85</f>
        <v>398.88160000000005</v>
      </c>
      <c r="K83" s="90">
        <f>'FY21 w YOY comp'!O85</f>
        <v>0</v>
      </c>
      <c r="L83" s="90">
        <f>'FY21 w YOY comp'!P85</f>
        <v>0</v>
      </c>
      <c r="M83" s="197">
        <f>'FY21 w YOY comp'!Q85</f>
        <v>1.0129999999999999</v>
      </c>
      <c r="N83" s="90">
        <f>'FY21 w YOY comp'!R85</f>
        <v>0</v>
      </c>
      <c r="O83" s="90">
        <f>'FY21 w YOY comp'!S85</f>
        <v>0</v>
      </c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</row>
    <row r="84" spans="1:27" ht="15.75" hidden="1" customHeight="1" x14ac:dyDescent="0.25">
      <c r="A84" s="133" t="str">
        <f>'FY21 w YOY comp'!A86</f>
        <v xml:space="preserve">         Total 3041 Praise Band Leader</v>
      </c>
      <c r="B84" s="199">
        <f>'FY21 w YOY comp'!B86</f>
        <v>9914.4000000000015</v>
      </c>
      <c r="C84" s="199">
        <f>'FY21 w YOY comp'!C86</f>
        <v>9914.4000000000015</v>
      </c>
      <c r="D84" s="199">
        <f>'FY21 w YOY comp'!D86</f>
        <v>9914.4000000000015</v>
      </c>
      <c r="E84" s="199">
        <f>'FY21 w YOY comp'!E86</f>
        <v>10181.379999999999</v>
      </c>
      <c r="F84" s="199">
        <f>'FY21 w YOY comp'!F86</f>
        <v>10293.66</v>
      </c>
      <c r="G84" s="199">
        <f>'FY21 w YOY comp'!G86</f>
        <v>10349</v>
      </c>
      <c r="H84" s="199">
        <f>'FY21 w YOY comp'!I86</f>
        <v>10355.580000000002</v>
      </c>
      <c r="I84" s="199">
        <f>'FY21 w YOY comp'!H86</f>
        <v>10349</v>
      </c>
      <c r="J84" s="201">
        <f>'FY21 w YOY comp'!K86</f>
        <v>10769.803200000002</v>
      </c>
      <c r="K84" s="90">
        <f>'FY21 w YOY comp'!O86</f>
        <v>0</v>
      </c>
      <c r="L84" s="90">
        <f>'FY21 w YOY comp'!P86</f>
        <v>0</v>
      </c>
      <c r="M84" s="197">
        <f>'FY21 w YOY comp'!Q86</f>
        <v>1.0129999999999999</v>
      </c>
      <c r="N84" s="90">
        <f>'FY21 w YOY comp'!R86</f>
        <v>0</v>
      </c>
      <c r="O84" s="142">
        <f>'FY21 w YOY comp'!S86</f>
        <v>0</v>
      </c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</row>
    <row r="85" spans="1:27" ht="15.75" hidden="1" customHeight="1" x14ac:dyDescent="0.25">
      <c r="A85" s="83" t="str">
        <f>'FY21 w YOY comp'!A87</f>
        <v xml:space="preserve">         3042 Youth Leader</v>
      </c>
      <c r="B85" s="85">
        <f>'FY21 w YOY comp'!B87</f>
        <v>9600</v>
      </c>
      <c r="C85" s="85">
        <f>'FY21 w YOY comp'!C87</f>
        <v>9600</v>
      </c>
      <c r="D85" s="85">
        <f>'FY21 w YOY comp'!D87</f>
        <v>9600</v>
      </c>
      <c r="E85" s="85">
        <f>'FY21 w YOY comp'!E87</f>
        <v>3967.5</v>
      </c>
      <c r="F85" s="85">
        <f>'FY21 w YOY comp'!F87</f>
        <v>4194.6000000000004</v>
      </c>
      <c r="G85" s="85">
        <f>'FY21 w YOY comp'!G87</f>
        <v>4089.3</v>
      </c>
      <c r="H85" s="86">
        <f>'FY21 w YOY comp'!I87</f>
        <v>6339.84</v>
      </c>
      <c r="I85" s="82">
        <f>'FY21 w YOY comp'!H87</f>
        <v>4089.3</v>
      </c>
      <c r="J85" s="87">
        <f>'FY21 w YOY comp'!K87</f>
        <v>4418.4000000000005</v>
      </c>
      <c r="K85" s="206">
        <f>'FY21 w YOY comp'!O87</f>
        <v>5</v>
      </c>
      <c r="L85" s="206">
        <f>'FY21 w YOY comp'!P87</f>
        <v>15.24</v>
      </c>
      <c r="M85" s="197">
        <f>'FY21 w YOY comp'!Q87</f>
        <v>1.0129999999999999</v>
      </c>
      <c r="N85" s="207">
        <f>'FY21 w YOY comp'!R87</f>
        <v>15.84</v>
      </c>
      <c r="O85" s="90">
        <f>'FY21 w YOY comp'!S87</f>
        <v>16.774559999999997</v>
      </c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</row>
    <row r="86" spans="1:27" ht="15.75" hidden="1" customHeight="1" x14ac:dyDescent="0.25">
      <c r="A86" s="83" t="str">
        <f>'FY21 w YOY comp'!A88</f>
        <v xml:space="preserve">            3042A Youth Leader Mileage</v>
      </c>
      <c r="B86" s="85">
        <f>'FY21 w YOY comp'!B88</f>
        <v>148.19999999999999</v>
      </c>
      <c r="C86" s="85">
        <f>'FY21 w YOY comp'!C88</f>
        <v>246.1</v>
      </c>
      <c r="D86" s="85">
        <f>'FY21 w YOY comp'!D88</f>
        <v>203.5</v>
      </c>
      <c r="E86" s="85">
        <f>'FY21 w YOY comp'!E88</f>
        <v>27.84</v>
      </c>
      <c r="F86" s="86">
        <f>'FY21 w YOY comp'!F88</f>
        <v>0</v>
      </c>
      <c r="G86" s="84">
        <f>'FY21 w YOY comp'!G88</f>
        <v>0</v>
      </c>
      <c r="H86" s="86">
        <f>'FY21 w YOY comp'!I88</f>
        <v>230</v>
      </c>
      <c r="I86" s="86">
        <f>'FY21 w YOY comp'!H88</f>
        <v>0</v>
      </c>
      <c r="J86" s="87">
        <f>'FY21 w YOY comp'!K88</f>
        <v>459.99999999999994</v>
      </c>
      <c r="K86" s="90">
        <f>'FY21 w YOY comp'!O88</f>
        <v>0</v>
      </c>
      <c r="L86" s="90">
        <f>'FY21 w YOY comp'!P88</f>
        <v>0</v>
      </c>
      <c r="M86" s="197">
        <f>'FY21 w YOY comp'!Q88</f>
        <v>1.0129999999999999</v>
      </c>
      <c r="N86" s="90">
        <f>'FY21 w YOY comp'!R88</f>
        <v>0</v>
      </c>
      <c r="O86" s="90">
        <f>'FY21 w YOY comp'!S88</f>
        <v>0</v>
      </c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</row>
    <row r="87" spans="1:27" ht="15.75" hidden="1" customHeight="1" x14ac:dyDescent="0.25">
      <c r="A87" s="133" t="str">
        <f>'FY21 w YOY comp'!A89</f>
        <v xml:space="preserve">         Total 3042 Youth Leader</v>
      </c>
      <c r="B87" s="199">
        <f>'FY21 w YOY comp'!B89</f>
        <v>9748.2000000000007</v>
      </c>
      <c r="C87" s="199">
        <f>'FY21 w YOY comp'!C89</f>
        <v>9846.1</v>
      </c>
      <c r="D87" s="199">
        <f>'FY21 w YOY comp'!D89</f>
        <v>9803.5</v>
      </c>
      <c r="E87" s="199">
        <f>'FY21 w YOY comp'!E89</f>
        <v>3995.34</v>
      </c>
      <c r="F87" s="199">
        <f>'FY21 w YOY comp'!F89</f>
        <v>4194.6000000000004</v>
      </c>
      <c r="G87" s="199">
        <f>'FY21 w YOY comp'!G89</f>
        <v>4089.3</v>
      </c>
      <c r="H87" s="199">
        <f>'FY21 w YOY comp'!I89</f>
        <v>6569.84</v>
      </c>
      <c r="I87" s="199">
        <f>'FY21 w YOY comp'!H89</f>
        <v>4089.3</v>
      </c>
      <c r="J87" s="201">
        <f>'FY21 w YOY comp'!K89</f>
        <v>4878.4000000000005</v>
      </c>
      <c r="K87" s="90">
        <f>'FY21 w YOY comp'!O89</f>
        <v>0</v>
      </c>
      <c r="L87" s="90">
        <f>'FY21 w YOY comp'!P89</f>
        <v>0</v>
      </c>
      <c r="M87" s="197">
        <f>'FY21 w YOY comp'!Q89</f>
        <v>1.0129999999999999</v>
      </c>
      <c r="N87" s="90">
        <f>'FY21 w YOY comp'!R89</f>
        <v>0</v>
      </c>
      <c r="O87" s="142">
        <f>'FY21 w YOY comp'!S89</f>
        <v>0</v>
      </c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</row>
    <row r="88" spans="1:27" ht="15.75" hidden="1" customHeight="1" x14ac:dyDescent="0.25">
      <c r="A88" s="133" t="str">
        <f>'FY21 w YOY comp'!A90</f>
        <v xml:space="preserve">         3043 Office Assistant/Operations Manager</v>
      </c>
      <c r="B88" s="143">
        <f>'FY21 w YOY comp'!B90</f>
        <v>11396.25</v>
      </c>
      <c r="C88" s="143">
        <f>'FY21 w YOY comp'!C90</f>
        <v>10575</v>
      </c>
      <c r="D88" s="143">
        <f>'FY21 w YOY comp'!D90</f>
        <v>10650</v>
      </c>
      <c r="E88" s="143">
        <f>'FY21 w YOY comp'!E90</f>
        <v>8553.26</v>
      </c>
      <c r="F88" s="143">
        <f>'FY21 w YOY comp'!F90</f>
        <v>9068.67</v>
      </c>
      <c r="G88" s="143">
        <f>'FY21 w YOY comp'!G90</f>
        <v>10527.14</v>
      </c>
      <c r="H88" s="135">
        <f>'FY21 w YOY comp'!I90</f>
        <v>12222.6</v>
      </c>
      <c r="I88" s="135">
        <f>'FY21 w YOY comp'!H90</f>
        <v>10527.14</v>
      </c>
      <c r="J88" s="137">
        <f>'FY21 w YOY comp'!K90</f>
        <v>12690.599999999999</v>
      </c>
      <c r="K88" s="194">
        <f>'FY21 w YOY comp'!O90</f>
        <v>15</v>
      </c>
      <c r="L88" s="194">
        <f>'FY21 w YOY comp'!P90</f>
        <v>15.67</v>
      </c>
      <c r="M88" s="197">
        <f>'FY21 w YOY comp'!Q90</f>
        <v>1.0129999999999999</v>
      </c>
      <c r="N88" s="207">
        <f>'FY21 w YOY comp'!R90</f>
        <v>16.27</v>
      </c>
      <c r="O88" s="142">
        <f>'FY21 w YOY comp'!S90</f>
        <v>20</v>
      </c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</row>
    <row r="89" spans="1:27" ht="15.75" hidden="1" customHeight="1" x14ac:dyDescent="0.25">
      <c r="A89" s="133" t="str">
        <f>'FY21 w YOY comp'!A91</f>
        <v xml:space="preserve">         3044 Nursery Staff</v>
      </c>
      <c r="B89" s="143">
        <f>'FY21 w YOY comp'!B91</f>
        <v>1286.25</v>
      </c>
      <c r="C89" s="143">
        <f>'FY21 w YOY comp'!C91</f>
        <v>1461.15</v>
      </c>
      <c r="D89" s="143">
        <f>'FY21 w YOY comp'!D91</f>
        <v>1702.65</v>
      </c>
      <c r="E89" s="143">
        <f>'FY21 w YOY comp'!E91</f>
        <v>2381.85</v>
      </c>
      <c r="F89" s="143">
        <f>'FY21 w YOY comp'!F91</f>
        <v>2254.1999999999998</v>
      </c>
      <c r="G89" s="143">
        <f>'FY21 w YOY comp'!G91</f>
        <v>1971.78</v>
      </c>
      <c r="H89" s="135">
        <f>'FY21 w YOY comp'!I91</f>
        <v>3330.72</v>
      </c>
      <c r="I89" s="135">
        <f>'FY21 w YOY comp'!H91</f>
        <v>1971.78</v>
      </c>
      <c r="J89" s="137">
        <f>'FY21 w YOY comp'!K91</f>
        <v>1345.68</v>
      </c>
      <c r="K89" s="194">
        <f>'FY21 w YOY comp'!O91</f>
        <v>3</v>
      </c>
      <c r="L89" s="194">
        <f>'FY21 w YOY comp'!P91</f>
        <v>15.42</v>
      </c>
      <c r="M89" s="197">
        <f>'FY21 w YOY comp'!Q91</f>
        <v>1.0129999999999999</v>
      </c>
      <c r="N89" s="207">
        <f>'FY21 w YOY comp'!R91</f>
        <v>16.02</v>
      </c>
      <c r="O89" s="210">
        <f>'FY21 w YOY comp'!S91</f>
        <v>16.96518</v>
      </c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</row>
    <row r="90" spans="1:27" ht="15.75" hidden="1" customHeight="1" x14ac:dyDescent="0.25">
      <c r="A90" s="133" t="str">
        <f>'FY21 w YOY comp'!A92</f>
        <v xml:space="preserve">         3045 Thrift Shop Supervisor</v>
      </c>
      <c r="B90" s="143">
        <f>'FY21 w YOY comp'!B92</f>
        <v>2599.92</v>
      </c>
      <c r="C90" s="143">
        <f>'FY21 w YOY comp'!C92</f>
        <v>2599.92</v>
      </c>
      <c r="D90" s="143">
        <f>'FY21 w YOY comp'!D92</f>
        <v>2849.24</v>
      </c>
      <c r="E90" s="143">
        <f>'FY21 w YOY comp'!E92</f>
        <v>6223.14</v>
      </c>
      <c r="F90" s="143">
        <f>'FY21 w YOY comp'!F92</f>
        <v>9218.7999999999993</v>
      </c>
      <c r="G90" s="143">
        <f>'FY21 w YOY comp'!G92</f>
        <v>10676.77</v>
      </c>
      <c r="H90" s="135">
        <f>'FY21 w YOY comp'!I92</f>
        <v>9464.68</v>
      </c>
      <c r="I90" s="135">
        <f>'FY21 w YOY comp'!H92</f>
        <v>10676.77</v>
      </c>
      <c r="J90" s="137">
        <f>'FY21 w YOY comp'!K92</f>
        <v>10998.52</v>
      </c>
      <c r="K90" s="194">
        <f>'FY21 w YOY comp'!O92</f>
        <v>13</v>
      </c>
      <c r="L90" s="194">
        <f>'FY21 w YOY comp'!P92</f>
        <v>15.67</v>
      </c>
      <c r="M90" s="197">
        <f>'FY21 w YOY comp'!Q92</f>
        <v>1.0129999999999999</v>
      </c>
      <c r="N90" s="207">
        <f>'FY21 w YOY comp'!R92</f>
        <v>16.27</v>
      </c>
      <c r="O90" s="210">
        <f>'FY21 w YOY comp'!S92</f>
        <v>17.22993</v>
      </c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</row>
    <row r="91" spans="1:27" ht="15.75" hidden="1" customHeight="1" x14ac:dyDescent="0.25">
      <c r="A91" s="133" t="str">
        <f>'FY21 w YOY comp'!A93</f>
        <v xml:space="preserve">         3046 Custodian</v>
      </c>
      <c r="B91" s="143">
        <f>'FY21 w YOY comp'!B93</f>
        <v>2308</v>
      </c>
      <c r="C91" s="143">
        <f>'FY21 w YOY comp'!C93</f>
        <v>1590.73</v>
      </c>
      <c r="D91" s="143">
        <f>'FY21 w YOY comp'!D93</f>
        <v>2579.14</v>
      </c>
      <c r="E91" s="143">
        <f>'FY21 w YOY comp'!E93</f>
        <v>1705.47</v>
      </c>
      <c r="F91" s="143">
        <f>'FY21 w YOY comp'!F93</f>
        <v>1376.25</v>
      </c>
      <c r="G91" s="143">
        <f>'FY21 w YOY comp'!G93</f>
        <v>1361.25</v>
      </c>
      <c r="H91" s="135">
        <f>'FY21 w YOY comp'!I93</f>
        <v>3120</v>
      </c>
      <c r="I91" s="135">
        <f>'FY21 w YOY comp'!H93</f>
        <v>1361.25</v>
      </c>
      <c r="J91" s="137">
        <f>'FY21 w YOY comp'!K93</f>
        <v>3244.7999999999997</v>
      </c>
      <c r="K91" s="194">
        <f>'FY21 w YOY comp'!O93</f>
        <v>4</v>
      </c>
      <c r="L91" s="194">
        <f>'FY21 w YOY comp'!P93</f>
        <v>15</v>
      </c>
      <c r="M91" s="197">
        <f>'FY21 w YOY comp'!Q93</f>
        <v>1.0129999999999999</v>
      </c>
      <c r="N91" s="207">
        <f>'FY21 w YOY comp'!R93</f>
        <v>15.6</v>
      </c>
      <c r="O91" s="210">
        <f>'FY21 w YOY comp'!S93</f>
        <v>16.520399999999999</v>
      </c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</row>
    <row r="92" spans="1:27" ht="15.75" hidden="1" customHeight="1" x14ac:dyDescent="0.25">
      <c r="A92" s="133" t="str">
        <f>'FY21 w YOY comp'!A94</f>
        <v xml:space="preserve">         3047 Financial Secretary</v>
      </c>
      <c r="B92" s="143">
        <f>'FY21 w YOY comp'!B94</f>
        <v>6236.25</v>
      </c>
      <c r="C92" s="143">
        <f>'FY21 w YOY comp'!C94</f>
        <v>6075</v>
      </c>
      <c r="D92" s="143">
        <f>'FY21 w YOY comp'!D94</f>
        <v>5655</v>
      </c>
      <c r="E92" s="143">
        <f>'FY21 w YOY comp'!E94</f>
        <v>7171.7</v>
      </c>
      <c r="F92" s="143">
        <f>'FY21 w YOY comp'!F94</f>
        <v>9178.5400000000009</v>
      </c>
      <c r="G92" s="143">
        <f>'FY21 w YOY comp'!G94</f>
        <v>10330.67</v>
      </c>
      <c r="H92" s="135">
        <f>'FY21 w YOY comp'!I94</f>
        <v>8148.4</v>
      </c>
      <c r="I92" s="135">
        <f>'FY21 w YOY comp'!H94</f>
        <v>10330.67</v>
      </c>
      <c r="J92" s="137">
        <f>'FY21 w YOY comp'!K94</f>
        <v>10998.52</v>
      </c>
      <c r="K92" s="194">
        <f>'FY21 w YOY comp'!O94</f>
        <v>13</v>
      </c>
      <c r="L92" s="194">
        <f>'FY21 w YOY comp'!P94</f>
        <v>15.67</v>
      </c>
      <c r="M92" s="197">
        <f>'FY21 w YOY comp'!Q94</f>
        <v>1.0129999999999999</v>
      </c>
      <c r="N92" s="207">
        <f>'FY21 w YOY comp'!R94</f>
        <v>16.27</v>
      </c>
      <c r="O92" s="210">
        <f>'FY21 w YOY comp'!S94</f>
        <v>17.22993</v>
      </c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</row>
    <row r="93" spans="1:27" ht="15.75" hidden="1" customHeight="1" x14ac:dyDescent="0.25">
      <c r="A93" s="133" t="str">
        <f>'FY21 w YOY comp'!A95</f>
        <v xml:space="preserve">         3048 Thrift Shop Volunteer Coordinator</v>
      </c>
      <c r="B93" s="134">
        <f>'FY21 w YOY comp'!B95</f>
        <v>0</v>
      </c>
      <c r="C93" s="134">
        <f>'FY21 w YOY comp'!C95</f>
        <v>0</v>
      </c>
      <c r="D93" s="134">
        <f>'FY21 w YOY comp'!D95</f>
        <v>0</v>
      </c>
      <c r="E93" s="143">
        <f>'FY21 w YOY comp'!E95</f>
        <v>1464.92</v>
      </c>
      <c r="F93" s="143">
        <f>'FY21 w YOY comp'!F95</f>
        <v>2702.37</v>
      </c>
      <c r="G93" s="143">
        <f>'FY21 w YOY comp'!G95</f>
        <v>2302.69</v>
      </c>
      <c r="H93" s="135">
        <f>'FY21 w YOY comp'!I95</f>
        <v>4009.2</v>
      </c>
      <c r="I93" s="135">
        <f>'FY21 w YOY comp'!H95</f>
        <v>2302.69</v>
      </c>
      <c r="J93" s="137">
        <f>'FY21 w YOY comp'!K95</f>
        <v>3332.16</v>
      </c>
      <c r="K93" s="194">
        <f>'FY21 w YOY comp'!O95</f>
        <v>4</v>
      </c>
      <c r="L93" s="194">
        <f>'FY21 w YOY comp'!P95</f>
        <v>15.42</v>
      </c>
      <c r="M93" s="197">
        <f>'FY21 w YOY comp'!Q95</f>
        <v>1.0129999999999999</v>
      </c>
      <c r="N93" s="207">
        <f>'FY21 w YOY comp'!R95</f>
        <v>16.02</v>
      </c>
      <c r="O93" s="210">
        <f>'FY21 w YOY comp'!S95</f>
        <v>16.96518</v>
      </c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</row>
    <row r="94" spans="1:27" ht="15.75" hidden="1" customHeight="1" x14ac:dyDescent="0.25">
      <c r="A94" s="133" t="str">
        <f>'FY21 w YOY comp'!A96</f>
        <v xml:space="preserve">         3049 Media Specialist</v>
      </c>
      <c r="B94" s="134">
        <f>'FY21 w YOY comp'!B96</f>
        <v>0</v>
      </c>
      <c r="C94" s="134">
        <f>'FY21 w YOY comp'!C96</f>
        <v>0</v>
      </c>
      <c r="D94" s="134">
        <f>'FY21 w YOY comp'!D96</f>
        <v>0</v>
      </c>
      <c r="E94" s="143">
        <f>'FY21 w YOY comp'!E96</f>
        <v>4236.3</v>
      </c>
      <c r="F94" s="143">
        <f>'FY21 w YOY comp'!F96</f>
        <v>3685.9</v>
      </c>
      <c r="G94" s="143">
        <f>'FY21 w YOY comp'!G96</f>
        <v>3757</v>
      </c>
      <c r="H94" s="135">
        <f>'FY21 w YOY comp'!I96</f>
        <v>4074.2</v>
      </c>
      <c r="I94" s="135">
        <f>'FY21 w YOY comp'!H96</f>
        <v>3757</v>
      </c>
      <c r="J94" s="137">
        <f>'FY21 w YOY comp'!K96</f>
        <v>5229</v>
      </c>
      <c r="K94" s="194" t="str">
        <f>'FY21 w YOY comp'!O96</f>
        <v>5 to 6</v>
      </c>
      <c r="L94" s="194">
        <f>'FY21 w YOY comp'!P96</f>
        <v>16</v>
      </c>
      <c r="M94" s="197">
        <f>'FY21 w YOY comp'!Q96</f>
        <v>1.0129999999999999</v>
      </c>
      <c r="N94" s="207">
        <f>'FY21 w YOY comp'!R96</f>
        <v>16.600000000000001</v>
      </c>
      <c r="O94" s="210">
        <f>'FY21 w YOY comp'!S96</f>
        <v>17.5794</v>
      </c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</row>
    <row r="95" spans="1:27" ht="15.75" hidden="1" customHeight="1" x14ac:dyDescent="0.25">
      <c r="A95" s="122" t="str">
        <f>'FY21 w YOY comp'!A97</f>
        <v xml:space="preserve">      Total 3040 Employee Salaries and Wages</v>
      </c>
      <c r="B95" s="178">
        <f>'FY21 w YOY comp'!B97</f>
        <v>43489.270000000004</v>
      </c>
      <c r="C95" s="178">
        <f>'FY21 w YOY comp'!C97</f>
        <v>42062.3</v>
      </c>
      <c r="D95" s="178">
        <f>'FY21 w YOY comp'!D97</f>
        <v>46193.93</v>
      </c>
      <c r="E95" s="178">
        <f>'FY21 w YOY comp'!E97</f>
        <v>45913.36</v>
      </c>
      <c r="F95" s="178">
        <f>'FY21 w YOY comp'!F97</f>
        <v>51972.990000000005</v>
      </c>
      <c r="G95" s="178">
        <f>'FY21 w YOY comp'!G97</f>
        <v>55365.600000000006</v>
      </c>
      <c r="H95" s="178">
        <f>'FY21 w YOY comp'!I97</f>
        <v>61295.22</v>
      </c>
      <c r="I95" s="178">
        <f>'FY21 w YOY comp'!H97</f>
        <v>55365.600000000006</v>
      </c>
      <c r="J95" s="180">
        <f>'FY21 w YOY comp'!K97</f>
        <v>63487.483200000002</v>
      </c>
      <c r="K95" s="131" t="str">
        <f>'FY21 w YOY comp'!O97</f>
        <v>Includes a $0.60 raise (~4% increase) for all employees &amp; 4% increase for Lenore</v>
      </c>
      <c r="L95" s="131">
        <f>'FY21 w YOY comp'!P97</f>
        <v>0</v>
      </c>
      <c r="M95" s="131">
        <f>'FY21 w YOY comp'!Q97</f>
        <v>0</v>
      </c>
      <c r="N95" s="131">
        <f>'FY21 w YOY comp'!R97</f>
        <v>0</v>
      </c>
      <c r="O95" s="131">
        <f>'FY21 w YOY comp'!S97</f>
        <v>0</v>
      </c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  <c r="AA95" s="131"/>
    </row>
    <row r="96" spans="1:27" ht="15.75" hidden="1" customHeight="1" x14ac:dyDescent="0.25">
      <c r="A96" s="46" t="str">
        <f>'FY21 w YOY comp'!A98</f>
        <v xml:space="preserve">      3050 Contractual Employees</v>
      </c>
      <c r="B96" s="21">
        <f>'FY21 w YOY comp'!B98</f>
        <v>0</v>
      </c>
      <c r="C96" s="21">
        <f>'FY21 w YOY comp'!C98</f>
        <v>0</v>
      </c>
      <c r="D96" s="21">
        <f>'FY21 w YOY comp'!D98</f>
        <v>0</v>
      </c>
      <c r="E96" s="21">
        <f>'FY21 w YOY comp'!E98</f>
        <v>0</v>
      </c>
      <c r="F96" s="22">
        <f>'FY21 w YOY comp'!F98</f>
        <v>0</v>
      </c>
      <c r="G96" s="21">
        <f>'FY21 w YOY comp'!G98</f>
        <v>0</v>
      </c>
      <c r="H96" s="22">
        <f>'FY21 w YOY comp'!I98</f>
        <v>0</v>
      </c>
      <c r="I96" s="22">
        <f>'FY21 w YOY comp'!H98</f>
        <v>0</v>
      </c>
      <c r="J96" s="24">
        <f>'FY21 w YOY comp'!K98</f>
        <v>0</v>
      </c>
      <c r="K96" s="1">
        <f>'FY21 w YOY comp'!O98</f>
        <v>0</v>
      </c>
      <c r="L96" s="1">
        <f>'FY21 w YOY comp'!P98</f>
        <v>0</v>
      </c>
      <c r="M96" s="1">
        <f>'FY21 w YOY comp'!Q98</f>
        <v>0</v>
      </c>
      <c r="N96" s="1">
        <f>'FY21 w YOY comp'!R98</f>
        <v>0</v>
      </c>
      <c r="O96" s="1">
        <f>'FY21 w YOY comp'!S98</f>
        <v>0</v>
      </c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hidden="1" customHeight="1" x14ac:dyDescent="0.25">
      <c r="A97" s="83" t="str">
        <f>'FY21 w YOY comp'!A100</f>
        <v xml:space="preserve">         3054 Office Assistant</v>
      </c>
      <c r="B97" s="84">
        <f>'FY21 w YOY comp'!B100</f>
        <v>0</v>
      </c>
      <c r="C97" s="85">
        <f>'FY21 w YOY comp'!C100</f>
        <v>100</v>
      </c>
      <c r="D97" s="84">
        <f>'FY21 w YOY comp'!D100</f>
        <v>0</v>
      </c>
      <c r="E97" s="84">
        <f>'FY21 w YOY comp'!E100</f>
        <v>0</v>
      </c>
      <c r="F97" s="86">
        <f>'FY21 w YOY comp'!F100</f>
        <v>0</v>
      </c>
      <c r="G97" s="84">
        <f>'FY21 w YOY comp'!G100</f>
        <v>0</v>
      </c>
      <c r="H97" s="86">
        <f>'FY21 w YOY comp'!I100</f>
        <v>0</v>
      </c>
      <c r="I97" s="86">
        <f>'FY21 w YOY comp'!H100</f>
        <v>0</v>
      </c>
      <c r="J97" s="87">
        <f>'FY21 w YOY comp'!K100</f>
        <v>0</v>
      </c>
      <c r="K97" s="90">
        <f>'FY21 w YOY comp'!O100</f>
        <v>0</v>
      </c>
      <c r="L97" s="90">
        <f>'FY21 w YOY comp'!P100</f>
        <v>0</v>
      </c>
      <c r="M97" s="90">
        <f>'FY21 w YOY comp'!Q100</f>
        <v>0</v>
      </c>
      <c r="N97" s="90">
        <f>'FY21 w YOY comp'!R100</f>
        <v>0</v>
      </c>
      <c r="O97" s="90">
        <f>'FY21 w YOY comp'!S100</f>
        <v>0</v>
      </c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</row>
    <row r="98" spans="1:27" ht="15.75" hidden="1" customHeight="1" x14ac:dyDescent="0.25">
      <c r="A98" s="83" t="str">
        <f>'FY21 w YOY comp'!A101</f>
        <v xml:space="preserve">         3055 Nursery Staff</v>
      </c>
      <c r="B98" s="85">
        <f>'FY21 w YOY comp'!B101</f>
        <v>130.05000000000001</v>
      </c>
      <c r="C98" s="84">
        <f>'FY21 w YOY comp'!C101</f>
        <v>0</v>
      </c>
      <c r="D98" s="85">
        <f>'FY21 w YOY comp'!D101</f>
        <v>50</v>
      </c>
      <c r="E98" s="85">
        <f>'FY21 w YOY comp'!E101</f>
        <v>373.14</v>
      </c>
      <c r="F98" s="85">
        <f>'FY21 w YOY comp'!F101</f>
        <v>323.14</v>
      </c>
      <c r="G98" s="84">
        <f>'FY21 w YOY comp'!G101</f>
        <v>0</v>
      </c>
      <c r="H98" s="86">
        <f>'FY21 w YOY comp'!I101</f>
        <v>100</v>
      </c>
      <c r="I98" s="86">
        <f>'FY21 w YOY comp'!H101</f>
        <v>0</v>
      </c>
      <c r="J98" s="87">
        <f>'FY21 w YOY comp'!K101</f>
        <v>0</v>
      </c>
      <c r="K98" s="90">
        <f>'FY21 w YOY comp'!O101</f>
        <v>0</v>
      </c>
      <c r="L98" s="90">
        <f>'FY21 w YOY comp'!P101</f>
        <v>0</v>
      </c>
      <c r="M98" s="90">
        <f>'FY21 w YOY comp'!Q101</f>
        <v>0</v>
      </c>
      <c r="N98" s="90">
        <f>'FY21 w YOY comp'!R101</f>
        <v>0</v>
      </c>
      <c r="O98" s="90">
        <f>'FY21 w YOY comp'!S101</f>
        <v>0</v>
      </c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</row>
    <row r="99" spans="1:27" ht="15.75" hidden="1" customHeight="1" x14ac:dyDescent="0.25">
      <c r="A99" s="83" t="str">
        <f>'FY21 w YOY comp'!A102</f>
        <v xml:space="preserve">         3056 Thrift Shop Supervisor</v>
      </c>
      <c r="B99" s="84">
        <f>'FY21 w YOY comp'!B102</f>
        <v>0</v>
      </c>
      <c r="C99" s="84">
        <f>'FY21 w YOY comp'!C102</f>
        <v>0</v>
      </c>
      <c r="D99" s="84">
        <f>'FY21 w YOY comp'!D102</f>
        <v>0</v>
      </c>
      <c r="E99" s="84">
        <f>'FY21 w YOY comp'!E102</f>
        <v>0</v>
      </c>
      <c r="F99" s="86">
        <f>'FY21 w YOY comp'!F102</f>
        <v>0</v>
      </c>
      <c r="G99" s="84">
        <f>'FY21 w YOY comp'!G102</f>
        <v>0</v>
      </c>
      <c r="H99" s="86">
        <f>'FY21 w YOY comp'!I102</f>
        <v>0</v>
      </c>
      <c r="I99" s="86">
        <f>'FY21 w YOY comp'!H102</f>
        <v>0</v>
      </c>
      <c r="J99" s="87">
        <f>'FY21 w YOY comp'!K102</f>
        <v>0</v>
      </c>
      <c r="K99" s="90">
        <f>'FY21 w YOY comp'!O102</f>
        <v>0</v>
      </c>
      <c r="L99" s="90">
        <f>'FY21 w YOY comp'!P102</f>
        <v>0</v>
      </c>
      <c r="M99" s="90">
        <f>'FY21 w YOY comp'!Q102</f>
        <v>0</v>
      </c>
      <c r="N99" s="90">
        <f>'FY21 w YOY comp'!R102</f>
        <v>0</v>
      </c>
      <c r="O99" s="90">
        <f>'FY21 w YOY comp'!S102</f>
        <v>0</v>
      </c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</row>
    <row r="100" spans="1:27" ht="15.75" hidden="1" customHeight="1" x14ac:dyDescent="0.25">
      <c r="A100" s="122" t="str">
        <f>'FY21 w YOY comp'!A103</f>
        <v xml:space="preserve">      Total 3050 Contractual Employees</v>
      </c>
      <c r="B100" s="178">
        <f>'FY21 w YOY comp'!B103</f>
        <v>130.05000000000001</v>
      </c>
      <c r="C100" s="178">
        <f>'FY21 w YOY comp'!C103</f>
        <v>100</v>
      </c>
      <c r="D100" s="178">
        <f>'FY21 w YOY comp'!D103</f>
        <v>50</v>
      </c>
      <c r="E100" s="178">
        <f>'FY21 w YOY comp'!E103</f>
        <v>373.14</v>
      </c>
      <c r="F100" s="178">
        <f>'FY21 w YOY comp'!F103</f>
        <v>323.14</v>
      </c>
      <c r="G100" s="178">
        <f>'FY21 w YOY comp'!G103</f>
        <v>0</v>
      </c>
      <c r="H100" s="178">
        <f>'FY21 w YOY comp'!I103</f>
        <v>100</v>
      </c>
      <c r="I100" s="178">
        <f>'FY21 w YOY comp'!H103</f>
        <v>0</v>
      </c>
      <c r="J100" s="180">
        <f>'FY21 w YOY comp'!K103</f>
        <v>0</v>
      </c>
      <c r="K100" s="131">
        <f>'FY21 w YOY comp'!O103</f>
        <v>0</v>
      </c>
      <c r="L100" s="131">
        <f>'FY21 w YOY comp'!P103</f>
        <v>0</v>
      </c>
      <c r="M100" s="131">
        <f>'FY21 w YOY comp'!Q103</f>
        <v>0</v>
      </c>
      <c r="N100" s="131">
        <f>'FY21 w YOY comp'!R103</f>
        <v>0</v>
      </c>
      <c r="O100" s="131">
        <f>'FY21 w YOY comp'!S103</f>
        <v>0</v>
      </c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</row>
    <row r="101" spans="1:27" ht="15.75" hidden="1" customHeight="1" x14ac:dyDescent="0.25">
      <c r="A101" s="46" t="str">
        <f>'FY21 w YOY comp'!A104</f>
        <v xml:space="preserve">      3060 Guest Pastor</v>
      </c>
      <c r="B101" s="47">
        <f>'FY21 w YOY comp'!B104</f>
        <v>750</v>
      </c>
      <c r="C101" s="47">
        <f>'FY21 w YOY comp'!C104</f>
        <v>800</v>
      </c>
      <c r="D101" s="47">
        <f>'FY21 w YOY comp'!D104</f>
        <v>640</v>
      </c>
      <c r="E101" s="47">
        <f>'FY21 w YOY comp'!E104</f>
        <v>320</v>
      </c>
      <c r="F101" s="47">
        <f>'FY21 w YOY comp'!F104</f>
        <v>320</v>
      </c>
      <c r="G101" s="47">
        <f>'FY21 w YOY comp'!G104</f>
        <v>640</v>
      </c>
      <c r="H101" s="22">
        <f>'FY21 w YOY comp'!I104</f>
        <v>960</v>
      </c>
      <c r="I101" s="55">
        <f>'FY21 w YOY comp'!H104</f>
        <v>640</v>
      </c>
      <c r="J101" s="24">
        <f>'FY21 w YOY comp'!K104</f>
        <v>960</v>
      </c>
      <c r="K101" s="1" t="str">
        <f>'FY21 w YOY comp'!O104</f>
        <v>6 events @ $185 each</v>
      </c>
      <c r="L101" s="1">
        <f>'FY21 w YOY comp'!P104</f>
        <v>0</v>
      </c>
      <c r="M101" s="1">
        <f>'FY21 w YOY comp'!Q104</f>
        <v>0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hidden="1" customHeight="1" x14ac:dyDescent="0.25">
      <c r="A102" s="46" t="str">
        <f>'FY21 w YOY comp'!A105</f>
        <v xml:space="preserve">         3061 Mileage</v>
      </c>
      <c r="B102" s="47">
        <f>'FY21 w YOY comp'!B105</f>
        <v>79.28</v>
      </c>
      <c r="C102" s="47">
        <f>'FY21 w YOY comp'!C105</f>
        <v>97.05</v>
      </c>
      <c r="D102" s="47">
        <f>'FY21 w YOY comp'!D105</f>
        <v>122.7</v>
      </c>
      <c r="E102" s="47">
        <f>'FY21 w YOY comp'!E105</f>
        <v>72.040000000000006</v>
      </c>
      <c r="F102" s="22">
        <f>'FY21 w YOY comp'!F105</f>
        <v>0</v>
      </c>
      <c r="G102" s="21">
        <f>'FY21 w YOY comp'!G105</f>
        <v>0</v>
      </c>
      <c r="H102" s="22">
        <f>'FY21 w YOY comp'!I105</f>
        <v>100</v>
      </c>
      <c r="I102" s="22">
        <f>'FY21 w YOY comp'!H105</f>
        <v>0</v>
      </c>
      <c r="J102" s="24">
        <f>'FY21 w YOY comp'!K105</f>
        <v>0</v>
      </c>
      <c r="K102" s="1">
        <f>'FY21 w YOY comp'!O105</f>
        <v>0</v>
      </c>
      <c r="L102" s="1">
        <f>'FY21 w YOY comp'!P105</f>
        <v>0</v>
      </c>
      <c r="M102" s="1">
        <f>'FY21 w YOY comp'!Q105</f>
        <v>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hidden="1" customHeight="1" x14ac:dyDescent="0.25">
      <c r="A103" s="122" t="str">
        <f>'FY21 w YOY comp'!A106</f>
        <v xml:space="preserve">      Total 3060 Guest Pastor</v>
      </c>
      <c r="B103" s="178">
        <f>'FY21 w YOY comp'!B106</f>
        <v>829.28</v>
      </c>
      <c r="C103" s="178">
        <f>'FY21 w YOY comp'!C106</f>
        <v>897.05</v>
      </c>
      <c r="D103" s="178">
        <f>'FY21 w YOY comp'!D106</f>
        <v>762.7</v>
      </c>
      <c r="E103" s="178">
        <f>'FY21 w YOY comp'!E106</f>
        <v>392.04</v>
      </c>
      <c r="F103" s="178">
        <f>'FY21 w YOY comp'!F106</f>
        <v>320</v>
      </c>
      <c r="G103" s="178">
        <f>'FY21 w YOY comp'!G106</f>
        <v>640</v>
      </c>
      <c r="H103" s="178">
        <f>'FY21 w YOY comp'!I106</f>
        <v>1060</v>
      </c>
      <c r="I103" s="178">
        <f>'FY21 w YOY comp'!H106</f>
        <v>640</v>
      </c>
      <c r="J103" s="180">
        <f>'FY21 w YOY comp'!K106</f>
        <v>960</v>
      </c>
      <c r="K103" s="131">
        <f>'FY21 w YOY comp'!O106</f>
        <v>0</v>
      </c>
      <c r="L103" s="131">
        <f>'FY21 w YOY comp'!P106</f>
        <v>0</v>
      </c>
      <c r="M103" s="131">
        <f>'FY21 w YOY comp'!Q106</f>
        <v>0</v>
      </c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</row>
    <row r="104" spans="1:27" ht="15.75" hidden="1" customHeight="1" x14ac:dyDescent="0.25">
      <c r="A104" s="122" t="str">
        <f>'FY21 w YOY comp'!A107</f>
        <v xml:space="preserve">      3065 Interim Pastor (deleted)</v>
      </c>
      <c r="B104" s="125">
        <f>'FY21 w YOY comp'!B107</f>
        <v>0</v>
      </c>
      <c r="C104" s="125">
        <f>'FY21 w YOY comp'!C107</f>
        <v>0</v>
      </c>
      <c r="D104" s="125">
        <f>'FY21 w YOY comp'!D107</f>
        <v>0</v>
      </c>
      <c r="E104" s="125">
        <f>'FY21 w YOY comp'!E107</f>
        <v>0</v>
      </c>
      <c r="F104" s="124">
        <f>'FY21 w YOY comp'!F107</f>
        <v>0</v>
      </c>
      <c r="G104" s="125">
        <f>'FY21 w YOY comp'!G107</f>
        <v>0</v>
      </c>
      <c r="H104" s="59">
        <f>'FY21 w YOY comp'!I107</f>
        <v>0</v>
      </c>
      <c r="I104" s="124">
        <f>'FY21 w YOY comp'!H107</f>
        <v>0</v>
      </c>
      <c r="J104" s="61">
        <f>'FY21 w YOY comp'!K107</f>
        <v>0</v>
      </c>
      <c r="K104" s="131">
        <f>'FY21 w YOY comp'!O107</f>
        <v>0</v>
      </c>
      <c r="L104" s="131">
        <f>'FY21 w YOY comp'!P107</f>
        <v>0</v>
      </c>
      <c r="M104" s="131">
        <f>'FY21 w YOY comp'!Q107</f>
        <v>0</v>
      </c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</row>
    <row r="105" spans="1:27" ht="15.75" hidden="1" customHeight="1" x14ac:dyDescent="0.25">
      <c r="A105" s="46" t="str">
        <f>'FY21 w YOY comp'!A108</f>
        <v xml:space="preserve">      3070 Seminarian (deleted)</v>
      </c>
      <c r="B105" s="21">
        <f>'FY21 w YOY comp'!B108</f>
        <v>0</v>
      </c>
      <c r="C105" s="21">
        <f>'FY21 w YOY comp'!C108</f>
        <v>0</v>
      </c>
      <c r="D105" s="21">
        <f>'FY21 w YOY comp'!D108</f>
        <v>0</v>
      </c>
      <c r="E105" s="21">
        <f>'FY21 w YOY comp'!E108</f>
        <v>0</v>
      </c>
      <c r="F105" s="22">
        <f>'FY21 w YOY comp'!F108</f>
        <v>0</v>
      </c>
      <c r="G105" s="21">
        <f>'FY21 w YOY comp'!G108</f>
        <v>0</v>
      </c>
      <c r="H105" s="59">
        <f>'FY21 w YOY comp'!I108</f>
        <v>0</v>
      </c>
      <c r="I105" s="22">
        <f>'FY21 w YOY comp'!H108</f>
        <v>0</v>
      </c>
      <c r="J105" s="61">
        <f>'FY21 w YOY comp'!K108</f>
        <v>0</v>
      </c>
      <c r="K105" s="1">
        <f>'FY21 w YOY comp'!O108</f>
        <v>0</v>
      </c>
      <c r="L105" s="1">
        <f>'FY21 w YOY comp'!P108</f>
        <v>0</v>
      </c>
      <c r="M105" s="1">
        <f>'FY21 w YOY comp'!Q108</f>
        <v>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hidden="1" customHeight="1" x14ac:dyDescent="0.25">
      <c r="A106" s="46" t="str">
        <f>'FY21 w YOY comp'!A109</f>
        <v xml:space="preserve">         3072 Program Grants (deleted)</v>
      </c>
      <c r="B106" s="21">
        <f>'FY21 w YOY comp'!B109</f>
        <v>0</v>
      </c>
      <c r="C106" s="21">
        <f>'FY21 w YOY comp'!C109</f>
        <v>0</v>
      </c>
      <c r="D106" s="21">
        <f>'FY21 w YOY comp'!D109</f>
        <v>0</v>
      </c>
      <c r="E106" s="21">
        <f>'FY21 w YOY comp'!E109</f>
        <v>0</v>
      </c>
      <c r="F106" s="22">
        <f>'FY21 w YOY comp'!F109</f>
        <v>0</v>
      </c>
      <c r="G106" s="21">
        <f>'FY21 w YOY comp'!G109</f>
        <v>0</v>
      </c>
      <c r="H106" s="59">
        <f>'FY21 w YOY comp'!I109</f>
        <v>0</v>
      </c>
      <c r="I106" s="22">
        <f>'FY21 w YOY comp'!H109</f>
        <v>0</v>
      </c>
      <c r="J106" s="61">
        <f>'FY21 w YOY comp'!K109</f>
        <v>0</v>
      </c>
      <c r="K106" s="1">
        <f>'FY21 w YOY comp'!O109</f>
        <v>0</v>
      </c>
      <c r="L106" s="1">
        <f>'FY21 w YOY comp'!P109</f>
        <v>0</v>
      </c>
      <c r="M106" s="1">
        <f>'FY21 w YOY comp'!Q109</f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hidden="1" customHeight="1" x14ac:dyDescent="0.25">
      <c r="A107" s="122" t="str">
        <f>'FY21 w YOY comp'!A110</f>
        <v xml:space="preserve">      Total 3070 Seminarian (deleted)</v>
      </c>
      <c r="B107" s="178">
        <f>'FY21 w YOY comp'!B110</f>
        <v>0</v>
      </c>
      <c r="C107" s="178">
        <f>'FY21 w YOY comp'!C110</f>
        <v>0</v>
      </c>
      <c r="D107" s="178">
        <f>'FY21 w YOY comp'!D110</f>
        <v>0</v>
      </c>
      <c r="E107" s="178">
        <f>'FY21 w YOY comp'!E110</f>
        <v>0</v>
      </c>
      <c r="F107" s="178">
        <f>'FY21 w YOY comp'!F110</f>
        <v>0</v>
      </c>
      <c r="G107" s="178">
        <f>'FY21 w YOY comp'!G110</f>
        <v>0</v>
      </c>
      <c r="H107" s="59">
        <f>'FY21 w YOY comp'!I110</f>
        <v>0</v>
      </c>
      <c r="I107" s="124">
        <f>'FY21 w YOY comp'!H110</f>
        <v>0</v>
      </c>
      <c r="J107" s="61">
        <f>'FY21 w YOY comp'!K110</f>
        <v>0</v>
      </c>
      <c r="K107" s="131">
        <f>'FY21 w YOY comp'!O110</f>
        <v>0</v>
      </c>
      <c r="L107" s="131">
        <f>'FY21 w YOY comp'!P110</f>
        <v>0</v>
      </c>
      <c r="M107" s="131">
        <f>'FY21 w YOY comp'!Q110</f>
        <v>0</v>
      </c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</row>
    <row r="108" spans="1:27" ht="15.75" hidden="1" customHeight="1" x14ac:dyDescent="0.25">
      <c r="A108" s="122" t="str">
        <f>'FY21 w YOY comp'!A111</f>
        <v xml:space="preserve">      3080 Payroll Taxes</v>
      </c>
      <c r="B108" s="123">
        <f>'FY21 w YOY comp'!B111</f>
        <v>3315.6</v>
      </c>
      <c r="C108" s="123">
        <f>'FY21 w YOY comp'!C111</f>
        <v>3198.94</v>
      </c>
      <c r="D108" s="123">
        <f>'FY21 w YOY comp'!D111</f>
        <v>3285.72</v>
      </c>
      <c r="E108" s="123">
        <f>'FY21 w YOY comp'!E111</f>
        <v>3510.21</v>
      </c>
      <c r="F108" s="123">
        <f>'FY21 w YOY comp'!F111</f>
        <v>3975.93</v>
      </c>
      <c r="G108" s="123">
        <f>'FY21 w YOY comp'!G111</f>
        <v>4274.2700000000004</v>
      </c>
      <c r="H108" s="124">
        <f>'FY21 w YOY comp'!I111</f>
        <v>4671.49</v>
      </c>
      <c r="I108" s="124">
        <f>'FY21 w YOY comp'!H111</f>
        <v>4274.2700000000004</v>
      </c>
      <c r="J108" s="127">
        <f>'FY21 w YOY comp'!K111</f>
        <v>4821.6024648000002</v>
      </c>
      <c r="K108" s="131">
        <f>'FY21 w YOY comp'!O111</f>
        <v>0</v>
      </c>
      <c r="L108" s="131">
        <f>'FY21 w YOY comp'!P111</f>
        <v>0</v>
      </c>
      <c r="M108" s="131">
        <f>'FY21 w YOY comp'!Q111</f>
        <v>0</v>
      </c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  <c r="AA108" s="131"/>
    </row>
    <row r="109" spans="1:27" ht="15.75" hidden="1" customHeight="1" x14ac:dyDescent="0.25">
      <c r="A109" s="122" t="str">
        <f>'FY21 w YOY comp'!A112</f>
        <v xml:space="preserve">      3090 Background Checks</v>
      </c>
      <c r="B109" s="123">
        <f>'FY21 w YOY comp'!B112</f>
        <v>72</v>
      </c>
      <c r="C109" s="123">
        <f>'FY21 w YOY comp'!C112</f>
        <v>120</v>
      </c>
      <c r="D109" s="123">
        <f>'FY21 w YOY comp'!D112</f>
        <v>72</v>
      </c>
      <c r="E109" s="123">
        <f>'FY21 w YOY comp'!E112</f>
        <v>48</v>
      </c>
      <c r="F109" s="123">
        <f>'FY21 w YOY comp'!F112</f>
        <v>36</v>
      </c>
      <c r="G109" s="123">
        <f>'FY21 w YOY comp'!G112</f>
        <v>12</v>
      </c>
      <c r="H109" s="124">
        <f>'FY21 w YOY comp'!I112</f>
        <v>48</v>
      </c>
      <c r="I109" s="124">
        <f>'FY21 w YOY comp'!H112</f>
        <v>12</v>
      </c>
      <c r="J109" s="127">
        <f>'FY21 w YOY comp'!K112</f>
        <v>24</v>
      </c>
      <c r="K109" s="131" t="str">
        <f>'FY21 w YOY comp'!O112</f>
        <v>new volunteers, new staff, etc.</v>
      </c>
      <c r="L109" s="131">
        <f>'FY21 w YOY comp'!P112</f>
        <v>0</v>
      </c>
      <c r="M109" s="131">
        <f>'FY21 w YOY comp'!Q112</f>
        <v>0</v>
      </c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</row>
    <row r="110" spans="1:27" ht="15.75" hidden="1" customHeight="1" x14ac:dyDescent="0.25">
      <c r="A110" s="122" t="str">
        <f>'FY21 w YOY comp'!A113</f>
        <v xml:space="preserve">      3091 Staff Appreciation</v>
      </c>
      <c r="B110" s="125">
        <f>'FY21 w YOY comp'!B113</f>
        <v>0</v>
      </c>
      <c r="C110" s="125">
        <f>'FY21 w YOY comp'!C113</f>
        <v>0</v>
      </c>
      <c r="D110" s="125">
        <f>'FY21 w YOY comp'!D113</f>
        <v>0</v>
      </c>
      <c r="E110" s="123">
        <f>'FY21 w YOY comp'!E113</f>
        <v>823.44</v>
      </c>
      <c r="F110" s="123">
        <f>'FY21 w YOY comp'!F113</f>
        <v>602.98</v>
      </c>
      <c r="G110" s="123">
        <f>'FY21 w YOY comp'!G113</f>
        <v>307.66000000000003</v>
      </c>
      <c r="H110" s="124">
        <f>'FY21 w YOY comp'!I113</f>
        <v>450</v>
      </c>
      <c r="I110" s="124">
        <f>'FY21 w YOY comp'!H113</f>
        <v>307.66000000000003</v>
      </c>
      <c r="J110" s="127">
        <f>'FY21 w YOY comp'!K113</f>
        <v>450</v>
      </c>
      <c r="K110" s="131" t="str">
        <f>'FY21 w YOY comp'!O113</f>
        <v>7 staff members @ $50 each</v>
      </c>
      <c r="L110" s="131">
        <f>'FY21 w YOY comp'!P113</f>
        <v>0</v>
      </c>
      <c r="M110" s="131">
        <f>'FY21 w YOY comp'!Q113</f>
        <v>0</v>
      </c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  <c r="AA110" s="131"/>
    </row>
    <row r="111" spans="1:27" ht="15.75" hidden="1" customHeight="1" x14ac:dyDescent="0.25">
      <c r="A111" s="122" t="str">
        <f>'FY21 w YOY comp'!A114</f>
        <v xml:space="preserve">      3092 Staff Continuing Education</v>
      </c>
      <c r="B111" s="125">
        <f>'FY21 w YOY comp'!B114</f>
        <v>0</v>
      </c>
      <c r="C111" s="125">
        <f>'FY21 w YOY comp'!C114</f>
        <v>0</v>
      </c>
      <c r="D111" s="125">
        <f>'FY21 w YOY comp'!D114</f>
        <v>0</v>
      </c>
      <c r="E111" s="125">
        <f>'FY21 w YOY comp'!E114</f>
        <v>0</v>
      </c>
      <c r="F111" s="123">
        <f>'FY21 w YOY comp'!F114</f>
        <v>18.260000000000002</v>
      </c>
      <c r="G111" s="123">
        <f>'FY21 w YOY comp'!G114</f>
        <v>18.260000000000002</v>
      </c>
      <c r="H111" s="124">
        <f>'FY21 w YOY comp'!I114</f>
        <v>500</v>
      </c>
      <c r="I111" s="124">
        <f>'FY21 w YOY comp'!H114</f>
        <v>18.260000000000002</v>
      </c>
      <c r="J111" s="127">
        <f>'FY21 w YOY comp'!K114</f>
        <v>0</v>
      </c>
      <c r="K111" s="131">
        <f>'FY21 w YOY comp'!O114</f>
        <v>0</v>
      </c>
      <c r="L111" s="131">
        <f>'FY21 w YOY comp'!P114</f>
        <v>0</v>
      </c>
      <c r="M111" s="131">
        <f>'FY21 w YOY comp'!Q114</f>
        <v>0</v>
      </c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</row>
    <row r="112" spans="1:27" ht="15.75" customHeight="1" x14ac:dyDescent="0.25">
      <c r="A112" s="217" t="str">
        <f>'FY21 w YOY comp'!A115</f>
        <v xml:space="preserve">   Total 3001 Staffing</v>
      </c>
      <c r="B112" s="218">
        <f>'FY21 w YOY comp'!B115</f>
        <v>150350.64000000001</v>
      </c>
      <c r="C112" s="218">
        <f>'FY21 w YOY comp'!C115</f>
        <v>151616.19</v>
      </c>
      <c r="D112" s="218">
        <f>'FY21 w YOY comp'!D115</f>
        <v>158947.07</v>
      </c>
      <c r="E112" s="218">
        <f>'FY21 w YOY comp'!E115</f>
        <v>162200.98000000001</v>
      </c>
      <c r="F112" s="218">
        <f>'FY21 w YOY comp'!F115</f>
        <v>169121.52000000005</v>
      </c>
      <c r="G112" s="218">
        <f>'FY21 w YOY comp'!G115</f>
        <v>174045.87</v>
      </c>
      <c r="H112" s="218">
        <f>'FY21 w YOY comp'!I115</f>
        <v>186265.57</v>
      </c>
      <c r="I112" s="218">
        <f>'FY21 w YOY comp'!H115</f>
        <v>174045.87</v>
      </c>
      <c r="J112" s="220">
        <f>'FY21 w YOY comp'!K115</f>
        <v>214110.91299813334</v>
      </c>
      <c r="K112" s="224">
        <f>'FY21 w YOY comp'!O115</f>
        <v>0</v>
      </c>
      <c r="L112" s="224">
        <f>'FY21 w YOY comp'!P115</f>
        <v>0</v>
      </c>
      <c r="M112" s="224">
        <f>'FY21 w YOY comp'!Q115</f>
        <v>0</v>
      </c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</row>
    <row r="113" spans="1:27" ht="15.75" hidden="1" customHeight="1" x14ac:dyDescent="0.25">
      <c r="A113" s="20">
        <f>'FY21 w YOY comp'!A116</f>
        <v>0</v>
      </c>
      <c r="B113" s="47">
        <f>'FY21 w YOY comp'!B116</f>
        <v>0</v>
      </c>
      <c r="C113" s="47">
        <f>'FY21 w YOY comp'!C116</f>
        <v>0</v>
      </c>
      <c r="D113" s="47">
        <f>'FY21 w YOY comp'!D116</f>
        <v>0</v>
      </c>
      <c r="E113" s="47">
        <f>'FY21 w YOY comp'!E116</f>
        <v>0</v>
      </c>
      <c r="F113" s="47">
        <f>'FY21 w YOY comp'!F116</f>
        <v>0</v>
      </c>
      <c r="G113" s="47">
        <f>'FY21 w YOY comp'!G116</f>
        <v>0</v>
      </c>
      <c r="H113" s="22">
        <f>'FY21 w YOY comp'!I116</f>
        <v>0</v>
      </c>
      <c r="I113" s="22">
        <f>'FY21 w YOY comp'!H116</f>
        <v>0</v>
      </c>
      <c r="J113" s="73">
        <f>'FY21 w YOY comp'!K116</f>
        <v>0</v>
      </c>
      <c r="K113" s="1">
        <f>'FY21 w YOY comp'!O116</f>
        <v>0</v>
      </c>
      <c r="L113" s="1">
        <f>'FY21 w YOY comp'!P116</f>
        <v>0</v>
      </c>
      <c r="M113" s="1">
        <f>'FY21 w YOY comp'!Q116</f>
        <v>0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hidden="1" customHeight="1" x14ac:dyDescent="0.25">
      <c r="A114" s="122" t="str">
        <f>'FY21 w YOY comp'!A117</f>
        <v xml:space="preserve">   5000 Office</v>
      </c>
      <c r="B114" s="123">
        <f>'FY21 w YOY comp'!B117</f>
        <v>-97</v>
      </c>
      <c r="C114" s="125">
        <f>'FY21 w YOY comp'!C117</f>
        <v>0</v>
      </c>
      <c r="D114" s="125">
        <f>'FY21 w YOY comp'!D117</f>
        <v>0</v>
      </c>
      <c r="E114" s="123">
        <f>'FY21 w YOY comp'!E117</f>
        <v>2115.8200000000002</v>
      </c>
      <c r="F114" s="123">
        <f>'FY21 w YOY comp'!F117</f>
        <v>2115.8200000000002</v>
      </c>
      <c r="G114" s="125">
        <f>'FY21 w YOY comp'!G117</f>
        <v>0</v>
      </c>
      <c r="H114" s="124">
        <f>'FY21 w YOY comp'!I117</f>
        <v>0</v>
      </c>
      <c r="I114" s="124">
        <f>'FY21 w YOY comp'!H117</f>
        <v>0</v>
      </c>
      <c r="J114" s="127">
        <f>'FY21 w YOY comp'!K117</f>
        <v>0</v>
      </c>
      <c r="K114" s="131">
        <f>'FY21 w YOY comp'!O117</f>
        <v>0</v>
      </c>
      <c r="L114" s="131">
        <f>'FY21 w YOY comp'!P117</f>
        <v>0</v>
      </c>
      <c r="M114" s="131">
        <f>'FY21 w YOY comp'!Q117</f>
        <v>0</v>
      </c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</row>
    <row r="115" spans="1:27" ht="15.75" hidden="1" customHeight="1" x14ac:dyDescent="0.25">
      <c r="A115" s="122" t="str">
        <f>'FY21 w YOY comp'!A118</f>
        <v xml:space="preserve">      5005 Scrip Shipping Costs</v>
      </c>
      <c r="B115" s="123">
        <f>'FY21 w YOY comp'!B118</f>
        <v>195.5</v>
      </c>
      <c r="C115" s="123">
        <f>'FY21 w YOY comp'!C118</f>
        <v>144.5</v>
      </c>
      <c r="D115" s="123">
        <f>'FY21 w YOY comp'!D118</f>
        <v>102</v>
      </c>
      <c r="E115" s="123">
        <f>'FY21 w YOY comp'!E118</f>
        <v>85</v>
      </c>
      <c r="F115" s="123">
        <f>'FY21 w YOY comp'!F118</f>
        <v>59.5</v>
      </c>
      <c r="G115" s="123">
        <f>'FY21 w YOY comp'!G118</f>
        <v>51</v>
      </c>
      <c r="H115" s="124">
        <f>'FY21 w YOY comp'!I118</f>
        <v>100</v>
      </c>
      <c r="I115" s="124">
        <f>'FY21 w YOY comp'!H118</f>
        <v>51</v>
      </c>
      <c r="J115" s="127">
        <f>'FY21 w YOY comp'!K118</f>
        <v>60</v>
      </c>
      <c r="K115" s="131" t="str">
        <f>'FY21 w YOY comp'!O118</f>
        <v>$8.75/order; ~1 order every 2 months</v>
      </c>
      <c r="L115" s="131">
        <f>'FY21 w YOY comp'!P118</f>
        <v>0</v>
      </c>
      <c r="M115" s="131">
        <f>'FY21 w YOY comp'!Q118</f>
        <v>0</v>
      </c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  <c r="AA115" s="131"/>
    </row>
    <row r="116" spans="1:27" ht="15.75" hidden="1" customHeight="1" x14ac:dyDescent="0.25">
      <c r="A116" s="122" t="str">
        <f>'FY21 w YOY comp'!A119</f>
        <v xml:space="preserve">      5007 Square Percentage Fee</v>
      </c>
      <c r="B116" s="123">
        <f>'FY21 w YOY comp'!B119</f>
        <v>13.71</v>
      </c>
      <c r="C116" s="123">
        <f>'FY21 w YOY comp'!C119</f>
        <v>237.13</v>
      </c>
      <c r="D116" s="123">
        <f>'FY21 w YOY comp'!D119</f>
        <v>108.98</v>
      </c>
      <c r="E116" s="123">
        <f>'FY21 w YOY comp'!E119</f>
        <v>314.95999999999998</v>
      </c>
      <c r="F116" s="123">
        <f>'FY21 w YOY comp'!F119</f>
        <v>189.32</v>
      </c>
      <c r="G116" s="123">
        <f>'FY21 w YOY comp'!G119</f>
        <v>196.49</v>
      </c>
      <c r="H116" s="124">
        <f>'FY21 w YOY comp'!I119</f>
        <v>340</v>
      </c>
      <c r="I116" s="124">
        <f>'FY21 w YOY comp'!H119</f>
        <v>196.49</v>
      </c>
      <c r="J116" s="127">
        <f>'FY21 w YOY comp'!K119</f>
        <v>780</v>
      </c>
      <c r="K116" s="131" t="str">
        <f>'FY21 w YOY comp'!O119</f>
        <v>tied to income 1814; $100 over 14 weeks since Thrift has opened and is accepting credit cards</v>
      </c>
      <c r="L116" s="131">
        <f>'FY21 w YOY comp'!P119</f>
        <v>0</v>
      </c>
      <c r="M116" s="131">
        <f>'FY21 w YOY comp'!Q119</f>
        <v>0</v>
      </c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  <c r="AA116" s="131"/>
    </row>
    <row r="117" spans="1:27" ht="15.75" hidden="1" customHeight="1" x14ac:dyDescent="0.25">
      <c r="A117" s="122" t="str">
        <f>'FY21 w YOY comp'!A120</f>
        <v xml:space="preserve">      5010 Misc. Office Supplies</v>
      </c>
      <c r="B117" s="123">
        <f>'FY21 w YOY comp'!B120</f>
        <v>245.3</v>
      </c>
      <c r="C117" s="123">
        <f>'FY21 w YOY comp'!C120</f>
        <v>242.22</v>
      </c>
      <c r="D117" s="123">
        <f>'FY21 w YOY comp'!D120</f>
        <v>226.67</v>
      </c>
      <c r="E117" s="123">
        <f>'FY21 w YOY comp'!E120</f>
        <v>345.72</v>
      </c>
      <c r="F117" s="123">
        <f>'FY21 w YOY comp'!F120</f>
        <v>207.62</v>
      </c>
      <c r="G117" s="123">
        <f>'FY21 w YOY comp'!G120</f>
        <v>469.62</v>
      </c>
      <c r="H117" s="124">
        <f>'FY21 w YOY comp'!I120</f>
        <v>250</v>
      </c>
      <c r="I117" s="124">
        <f>'FY21 w YOY comp'!H120</f>
        <v>469.62</v>
      </c>
      <c r="J117" s="127">
        <f>'FY21 w YOY comp'!K120</f>
        <v>200</v>
      </c>
      <c r="K117" s="131" t="str">
        <f>'FY21 w YOY comp'!O120</f>
        <v>Envelopes, deposit slips, key tags, power strips, AiH mailers</v>
      </c>
      <c r="L117" s="131">
        <f>'FY21 w YOY comp'!P120</f>
        <v>0</v>
      </c>
      <c r="M117" s="131">
        <f>'FY21 w YOY comp'!Q120</f>
        <v>0</v>
      </c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  <c r="AA117" s="131"/>
    </row>
    <row r="118" spans="1:27" ht="15.75" hidden="1" customHeight="1" x14ac:dyDescent="0.25">
      <c r="A118" s="133" t="str">
        <f>'FY21 w YOY comp'!A121</f>
        <v xml:space="preserve">      5015 Office Equipment &amp; Furnishings</v>
      </c>
      <c r="B118" s="143">
        <f>'FY21 w YOY comp'!B121</f>
        <v>30.74</v>
      </c>
      <c r="C118" s="134">
        <f>'FY21 w YOY comp'!C121</f>
        <v>0</v>
      </c>
      <c r="D118" s="134">
        <f>'FY21 w YOY comp'!D121</f>
        <v>0</v>
      </c>
      <c r="E118" s="134">
        <f>'FY21 w YOY comp'!E121</f>
        <v>0</v>
      </c>
      <c r="F118" s="135">
        <f>'FY21 w YOY comp'!F121</f>
        <v>0</v>
      </c>
      <c r="G118" s="134">
        <f>'FY21 w YOY comp'!G121</f>
        <v>0</v>
      </c>
      <c r="H118" s="135">
        <f>'FY21 w YOY comp'!I121</f>
        <v>0</v>
      </c>
      <c r="I118" s="135">
        <f>'FY21 w YOY comp'!H121</f>
        <v>0</v>
      </c>
      <c r="J118" s="137">
        <f>'FY21 w YOY comp'!K121</f>
        <v>0</v>
      </c>
      <c r="K118" s="142" t="str">
        <f>'FY21 w YOY comp'!O126</f>
        <v>new desk/table &amp; chairs for office/conf room</v>
      </c>
      <c r="L118" s="142">
        <f>'FY21 w YOY comp'!P121</f>
        <v>0</v>
      </c>
      <c r="M118" s="142">
        <f>'FY21 w YOY comp'!Q121</f>
        <v>0</v>
      </c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</row>
    <row r="119" spans="1:27" ht="15.75" hidden="1" customHeight="1" x14ac:dyDescent="0.25">
      <c r="A119" s="83" t="str">
        <f>'FY21 w YOY comp'!A122</f>
        <v xml:space="preserve">         5016 Laptop Computer</v>
      </c>
      <c r="B119" s="84">
        <f>'FY21 w YOY comp'!B122</f>
        <v>0</v>
      </c>
      <c r="C119" s="84">
        <f>'FY21 w YOY comp'!C122</f>
        <v>0</v>
      </c>
      <c r="D119" s="84">
        <f>'FY21 w YOY comp'!D122</f>
        <v>0</v>
      </c>
      <c r="E119" s="84">
        <f>'FY21 w YOY comp'!E122</f>
        <v>0</v>
      </c>
      <c r="F119" s="86">
        <f>'FY21 w YOY comp'!F122</f>
        <v>0</v>
      </c>
      <c r="G119" s="84">
        <f>'FY21 w YOY comp'!G122</f>
        <v>0</v>
      </c>
      <c r="H119" s="86">
        <f>'FY21 w YOY comp'!I122</f>
        <v>0</v>
      </c>
      <c r="I119" s="86">
        <f>'FY21 w YOY comp'!H122</f>
        <v>0</v>
      </c>
      <c r="J119" s="87">
        <f>'FY21 w YOY comp'!K122</f>
        <v>2500</v>
      </c>
      <c r="K119" s="1" t="str">
        <f>'FY21 w YOY comp'!O122</f>
        <v>New computer or replacement for one staff member each year (FY22 will be for financial secretary; FY23 will be PSY)</v>
      </c>
      <c r="L119" s="90">
        <f>'FY21 w YOY comp'!P122</f>
        <v>0</v>
      </c>
      <c r="M119" s="90">
        <f>'FY21 w YOY comp'!Q122</f>
        <v>0</v>
      </c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</row>
    <row r="120" spans="1:27" ht="15.75" hidden="1" customHeight="1" x14ac:dyDescent="0.25">
      <c r="A120" s="227" t="str">
        <f>'FY21 w YOY comp'!A123</f>
        <v xml:space="preserve">            5016A Software</v>
      </c>
      <c r="B120" s="86">
        <f>'FY21 w YOY comp'!B123</f>
        <v>0</v>
      </c>
      <c r="C120" s="86">
        <f>'FY21 w YOY comp'!C123</f>
        <v>0</v>
      </c>
      <c r="D120" s="86">
        <f>'FY21 w YOY comp'!D123</f>
        <v>0</v>
      </c>
      <c r="E120" s="86">
        <f>'FY21 w YOY comp'!E123</f>
        <v>0</v>
      </c>
      <c r="F120" s="86">
        <f>'FY21 w YOY comp'!F123</f>
        <v>0</v>
      </c>
      <c r="G120" s="86">
        <f>'FY21 w YOY comp'!G123</f>
        <v>0</v>
      </c>
      <c r="H120" s="86">
        <f>'FY21 w YOY comp'!I123</f>
        <v>638.88</v>
      </c>
      <c r="I120" s="86">
        <f>'FY21 w YOY comp'!H123</f>
        <v>0</v>
      </c>
      <c r="J120" s="87">
        <f>'FY21 w YOY comp'!K123</f>
        <v>0</v>
      </c>
      <c r="K120" s="90">
        <f>'FY21 w YOY comp'!O123</f>
        <v>0</v>
      </c>
      <c r="L120" s="90">
        <f>'FY21 w YOY comp'!P123</f>
        <v>0</v>
      </c>
      <c r="M120" s="90">
        <f>'FY21 w YOY comp'!Q123</f>
        <v>0</v>
      </c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</row>
    <row r="121" spans="1:27" ht="15.75" hidden="1" customHeight="1" x14ac:dyDescent="0.25">
      <c r="A121" s="83" t="str">
        <f>'FY21 w YOY comp'!A124</f>
        <v xml:space="preserve">            5016B Hardware</v>
      </c>
      <c r="B121" s="84">
        <f>'FY21 w YOY comp'!B124</f>
        <v>0</v>
      </c>
      <c r="C121" s="84">
        <f>'FY21 w YOY comp'!C124</f>
        <v>0</v>
      </c>
      <c r="D121" s="84">
        <f>'FY21 w YOY comp'!D124</f>
        <v>0</v>
      </c>
      <c r="E121" s="84">
        <f>'FY21 w YOY comp'!E124</f>
        <v>0</v>
      </c>
      <c r="F121" s="85">
        <f>'FY21 w YOY comp'!F124</f>
        <v>937</v>
      </c>
      <c r="G121" s="85">
        <f>'FY21 w YOY comp'!G124</f>
        <v>959.25</v>
      </c>
      <c r="H121" s="86">
        <f>'FY21 w YOY comp'!I124</f>
        <v>1200</v>
      </c>
      <c r="I121" s="86">
        <f>'FY21 w YOY comp'!H124</f>
        <v>959.25</v>
      </c>
      <c r="J121" s="87">
        <f>'FY21 w YOY comp'!K124</f>
        <v>0</v>
      </c>
      <c r="K121" s="90">
        <f>'FY21 w YOY comp'!O124</f>
        <v>0</v>
      </c>
      <c r="L121" s="90">
        <f>'FY21 w YOY comp'!P124</f>
        <v>0</v>
      </c>
      <c r="M121" s="90">
        <f>'FY21 w YOY comp'!Q124</f>
        <v>0</v>
      </c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</row>
    <row r="122" spans="1:27" ht="15.75" hidden="1" customHeight="1" x14ac:dyDescent="0.25">
      <c r="A122" s="133" t="str">
        <f>'FY21 w YOY comp'!A125</f>
        <v xml:space="preserve">         Total 5016 Laptop Computer</v>
      </c>
      <c r="B122" s="161">
        <f>'FY21 w YOY comp'!B125</f>
        <v>0</v>
      </c>
      <c r="C122" s="161">
        <f>'FY21 w YOY comp'!C125</f>
        <v>0</v>
      </c>
      <c r="D122" s="161">
        <f>'FY21 w YOY comp'!D125</f>
        <v>0</v>
      </c>
      <c r="E122" s="161">
        <f>'FY21 w YOY comp'!E125</f>
        <v>0</v>
      </c>
      <c r="F122" s="161">
        <f>'FY21 w YOY comp'!F125</f>
        <v>937</v>
      </c>
      <c r="G122" s="161">
        <f>'FY21 w YOY comp'!G125</f>
        <v>959.25</v>
      </c>
      <c r="H122" s="161">
        <f>'FY21 w YOY comp'!I125</f>
        <v>1838.88</v>
      </c>
      <c r="I122" s="161">
        <f>'FY21 w YOY comp'!H125</f>
        <v>959.25</v>
      </c>
      <c r="J122" s="229">
        <f>'FY21 w YOY comp'!K125</f>
        <v>2500</v>
      </c>
      <c r="K122" s="142">
        <f>'FY21 w YOY comp'!O125</f>
        <v>0</v>
      </c>
      <c r="L122" s="142">
        <f>'FY21 w YOY comp'!P125</f>
        <v>0</v>
      </c>
      <c r="M122" s="142">
        <f>'FY21 w YOY comp'!Q125</f>
        <v>0</v>
      </c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</row>
    <row r="123" spans="1:27" ht="15.75" hidden="1" customHeight="1" x14ac:dyDescent="0.25">
      <c r="A123" s="122" t="str">
        <f>'FY21 w YOY comp'!A127</f>
        <v xml:space="preserve">      Total 5015 Office Equipment</v>
      </c>
      <c r="B123" s="178">
        <f>'FY21 w YOY comp'!B127</f>
        <v>30.74</v>
      </c>
      <c r="C123" s="178">
        <f>'FY21 w YOY comp'!C127</f>
        <v>0</v>
      </c>
      <c r="D123" s="178">
        <f>'FY21 w YOY comp'!D127</f>
        <v>0</v>
      </c>
      <c r="E123" s="178">
        <f>'FY21 w YOY comp'!E127</f>
        <v>0</v>
      </c>
      <c r="F123" s="178">
        <f>'FY21 w YOY comp'!F127</f>
        <v>937</v>
      </c>
      <c r="G123" s="178">
        <f>'FY21 w YOY comp'!G127</f>
        <v>1109.24</v>
      </c>
      <c r="H123" s="178">
        <f>'FY21 w YOY comp'!I127</f>
        <v>1838.88</v>
      </c>
      <c r="I123" s="178">
        <f>'FY21 w YOY comp'!H127</f>
        <v>1109.24</v>
      </c>
      <c r="J123" s="180">
        <f>'FY21 w YOY comp'!K127</f>
        <v>3000</v>
      </c>
      <c r="K123" s="131">
        <f>'FY21 w YOY comp'!O127</f>
        <v>0</v>
      </c>
      <c r="L123" s="131">
        <f>'FY21 w YOY comp'!P127</f>
        <v>0</v>
      </c>
      <c r="M123" s="131">
        <f>'FY21 w YOY comp'!Q127</f>
        <v>0</v>
      </c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</row>
    <row r="124" spans="1:27" ht="15.75" hidden="1" customHeight="1" x14ac:dyDescent="0.25">
      <c r="A124" s="122" t="str">
        <f>'FY21 w YOY comp'!A128</f>
        <v xml:space="preserve">      5020 Thrift Shop Supplies</v>
      </c>
      <c r="B124" s="123">
        <f>'FY21 w YOY comp'!B128</f>
        <v>322.95999999999998</v>
      </c>
      <c r="C124" s="123">
        <f>'FY21 w YOY comp'!C128</f>
        <v>240.24</v>
      </c>
      <c r="D124" s="123">
        <f>'FY21 w YOY comp'!D128</f>
        <v>923.06</v>
      </c>
      <c r="E124" s="123">
        <f>'FY21 w YOY comp'!E128</f>
        <v>3171.63</v>
      </c>
      <c r="F124" s="123">
        <f>'FY21 w YOY comp'!F128</f>
        <v>2607.58</v>
      </c>
      <c r="G124" s="123">
        <f>'FY21 w YOY comp'!G128</f>
        <v>2341.44</v>
      </c>
      <c r="H124" s="124">
        <f>'FY21 w YOY comp'!I128</f>
        <v>3200</v>
      </c>
      <c r="I124" s="124">
        <f>'FY21 w YOY comp'!H128</f>
        <v>2341.44</v>
      </c>
      <c r="J124" s="127">
        <f>'FY21 w YOY comp'!K128</f>
        <v>3764</v>
      </c>
      <c r="K124" s="131" t="str">
        <f>'FY21 w YOY comp'!O128</f>
        <v>includes $107/mo for two storage pods for 6 months</v>
      </c>
      <c r="L124" s="131">
        <f>'FY21 w YOY comp'!P128</f>
        <v>0</v>
      </c>
      <c r="M124" s="131">
        <f>'FY21 w YOY comp'!Q128</f>
        <v>0</v>
      </c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  <c r="AA124" s="131"/>
    </row>
    <row r="125" spans="1:27" ht="15.75" hidden="1" customHeight="1" x14ac:dyDescent="0.25">
      <c r="A125" s="46" t="str">
        <f>'FY21 w YOY comp'!A129</f>
        <v xml:space="preserve">      5025 Postal</v>
      </c>
      <c r="B125" s="21">
        <f>'FY21 w YOY comp'!B129</f>
        <v>0</v>
      </c>
      <c r="C125" s="21">
        <f>'FY21 w YOY comp'!C129</f>
        <v>0</v>
      </c>
      <c r="D125" s="21">
        <f>'FY21 w YOY comp'!D129</f>
        <v>0</v>
      </c>
      <c r="E125" s="21">
        <f>'FY21 w YOY comp'!E129</f>
        <v>0</v>
      </c>
      <c r="F125" s="22">
        <f>'FY21 w YOY comp'!F129</f>
        <v>0</v>
      </c>
      <c r="G125" s="21">
        <f>'FY21 w YOY comp'!G129</f>
        <v>0</v>
      </c>
      <c r="H125" s="22">
        <f>'FY21 w YOY comp'!I129</f>
        <v>0</v>
      </c>
      <c r="I125" s="22">
        <f>'FY21 w YOY comp'!H129</f>
        <v>0</v>
      </c>
      <c r="J125" s="24">
        <f>'FY21 w YOY comp'!K129</f>
        <v>0</v>
      </c>
      <c r="K125" s="1">
        <f>'FY21 w YOY comp'!O129</f>
        <v>0</v>
      </c>
      <c r="L125" s="1">
        <f>'FY21 w YOY comp'!P129</f>
        <v>0</v>
      </c>
      <c r="M125" s="1">
        <f>'FY21 w YOY comp'!Q129</f>
        <v>0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hidden="1" customHeight="1" x14ac:dyDescent="0.25">
      <c r="A126" s="46" t="str">
        <f>'FY21 w YOY comp'!A130</f>
        <v xml:space="preserve">         5027 Postage</v>
      </c>
      <c r="B126" s="47">
        <f>'FY21 w YOY comp'!B130</f>
        <v>148.16999999999999</v>
      </c>
      <c r="C126" s="47">
        <f>'FY21 w YOY comp'!C130</f>
        <v>69.14</v>
      </c>
      <c r="D126" s="47">
        <f>'FY21 w YOY comp'!D130</f>
        <v>109.73</v>
      </c>
      <c r="E126" s="47">
        <f>'FY21 w YOY comp'!E130</f>
        <v>208.55</v>
      </c>
      <c r="F126" s="47">
        <f>'FY21 w YOY comp'!F130</f>
        <v>293.88</v>
      </c>
      <c r="G126" s="47">
        <f>'FY21 w YOY comp'!G130</f>
        <v>378.33</v>
      </c>
      <c r="H126" s="22">
        <f>'FY21 w YOY comp'!I130</f>
        <v>120</v>
      </c>
      <c r="I126" s="22">
        <f>'FY21 w YOY comp'!H130</f>
        <v>378.33</v>
      </c>
      <c r="J126" s="24">
        <f>'FY21 w YOY comp'!K130</f>
        <v>400</v>
      </c>
      <c r="K126" s="1">
        <f>'FY21 w YOY comp'!O130</f>
        <v>0</v>
      </c>
      <c r="L126" s="1">
        <f>'FY21 w YOY comp'!P130</f>
        <v>0</v>
      </c>
      <c r="M126" s="1">
        <f>'FY21 w YOY comp'!Q130</f>
        <v>0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hidden="1" customHeight="1" x14ac:dyDescent="0.25">
      <c r="A127" s="46" t="str">
        <f>'FY21 w YOY comp'!A131</f>
        <v xml:space="preserve">         5028 PO Box Fee</v>
      </c>
      <c r="B127" s="21">
        <f>'FY21 w YOY comp'!B131</f>
        <v>0</v>
      </c>
      <c r="C127" s="21">
        <f>'FY21 w YOY comp'!C131</f>
        <v>0</v>
      </c>
      <c r="D127" s="21">
        <f>'FY21 w YOY comp'!D131</f>
        <v>0</v>
      </c>
      <c r="E127" s="21">
        <f>'FY21 w YOY comp'!E131</f>
        <v>118</v>
      </c>
      <c r="F127" s="22">
        <f>'FY21 w YOY comp'!F131</f>
        <v>118</v>
      </c>
      <c r="G127" s="21">
        <f>'FY21 w YOY comp'!G131</f>
        <v>0</v>
      </c>
      <c r="H127" s="22">
        <f>'FY21 w YOY comp'!I131</f>
        <v>118</v>
      </c>
      <c r="I127" s="22">
        <f>'FY21 w YOY comp'!H131</f>
        <v>0</v>
      </c>
      <c r="J127" s="24">
        <f>'FY21 w YOY comp'!K131</f>
        <v>166</v>
      </c>
      <c r="K127" s="190">
        <f>'FY21 w YOY comp'!O131</f>
        <v>0</v>
      </c>
      <c r="L127" s="1">
        <f>'FY21 w YOY comp'!P131</f>
        <v>0</v>
      </c>
      <c r="M127" s="1">
        <f>'FY21 w YOY comp'!Q131</f>
        <v>0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hidden="1" customHeight="1" x14ac:dyDescent="0.25">
      <c r="A128" s="122" t="str">
        <f>'FY21 w YOY comp'!A132</f>
        <v xml:space="preserve">      Total 5025 Postal</v>
      </c>
      <c r="B128" s="178">
        <f>'FY21 w YOY comp'!B132</f>
        <v>148.16999999999999</v>
      </c>
      <c r="C128" s="178">
        <f>'FY21 w YOY comp'!C132</f>
        <v>69.14</v>
      </c>
      <c r="D128" s="178">
        <f>'FY21 w YOY comp'!D132</f>
        <v>109.73</v>
      </c>
      <c r="E128" s="178">
        <f>'FY21 w YOY comp'!E132</f>
        <v>326.55</v>
      </c>
      <c r="F128" s="178">
        <f>'FY21 w YOY comp'!F132</f>
        <v>411.88</v>
      </c>
      <c r="G128" s="178">
        <f>'FY21 w YOY comp'!G132</f>
        <v>378.33</v>
      </c>
      <c r="H128" s="178">
        <f>'FY21 w YOY comp'!I132</f>
        <v>238</v>
      </c>
      <c r="I128" s="178">
        <f>'FY21 w YOY comp'!H132</f>
        <v>378.33</v>
      </c>
      <c r="J128" s="180">
        <f>'FY21 w YOY comp'!K132</f>
        <v>566</v>
      </c>
      <c r="K128" s="131">
        <f>'FY21 w YOY comp'!O132</f>
        <v>0</v>
      </c>
      <c r="L128" s="131">
        <f>'FY21 w YOY comp'!P132</f>
        <v>0</v>
      </c>
      <c r="M128" s="131">
        <f>'FY21 w YOY comp'!Q132</f>
        <v>0</v>
      </c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</row>
    <row r="129" spans="1:27" ht="15.75" hidden="1" customHeight="1" x14ac:dyDescent="0.25">
      <c r="A129" s="46" t="str">
        <f>'FY21 w YOY comp'!A133</f>
        <v xml:space="preserve">      5030 Printing/Copying Materials</v>
      </c>
      <c r="B129" s="47">
        <f>'FY21 w YOY comp'!B133</f>
        <v>296.64999999999998</v>
      </c>
      <c r="C129" s="21">
        <f>'FY21 w YOY comp'!C133</f>
        <v>0</v>
      </c>
      <c r="D129" s="21">
        <f>'FY21 w YOY comp'!D133</f>
        <v>0</v>
      </c>
      <c r="E129" s="21">
        <f>'FY21 w YOY comp'!E133</f>
        <v>0</v>
      </c>
      <c r="F129" s="22">
        <f>'FY21 w YOY comp'!F133</f>
        <v>0</v>
      </c>
      <c r="G129" s="21">
        <f>'FY21 w YOY comp'!G133</f>
        <v>300</v>
      </c>
      <c r="H129" s="22">
        <f>'FY21 w YOY comp'!I133</f>
        <v>0</v>
      </c>
      <c r="I129" s="22">
        <f>'FY21 w YOY comp'!H133</f>
        <v>300</v>
      </c>
      <c r="J129" s="24">
        <f>'FY21 w YOY comp'!K133</f>
        <v>0</v>
      </c>
      <c r="K129" s="1">
        <f>'FY21 w YOY comp'!O133</f>
        <v>0</v>
      </c>
      <c r="L129" s="1">
        <f>'FY21 w YOY comp'!P133</f>
        <v>0</v>
      </c>
      <c r="M129" s="1">
        <f>'FY21 w YOY comp'!Q133</f>
        <v>0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hidden="1" customHeight="1" x14ac:dyDescent="0.25">
      <c r="A130" s="46" t="str">
        <f>'FY21 w YOY comp'!A134</f>
        <v xml:space="preserve">         5031 Paper</v>
      </c>
      <c r="B130" s="47">
        <f>'FY21 w YOY comp'!B134</f>
        <v>275.2</v>
      </c>
      <c r="C130" s="47">
        <f>'FY21 w YOY comp'!C134</f>
        <v>206.77</v>
      </c>
      <c r="D130" s="47">
        <f>'FY21 w YOY comp'!D134</f>
        <v>175.83</v>
      </c>
      <c r="E130" s="47">
        <f>'FY21 w YOY comp'!E134</f>
        <v>177.38</v>
      </c>
      <c r="F130" s="47">
        <f>'FY21 w YOY comp'!F134</f>
        <v>129.54</v>
      </c>
      <c r="G130" s="47">
        <f>'FY21 w YOY comp'!G134</f>
        <v>36.99</v>
      </c>
      <c r="H130" s="22">
        <f>'FY21 w YOY comp'!I134</f>
        <v>200</v>
      </c>
      <c r="I130" s="22">
        <f>'FY21 w YOY comp'!H134</f>
        <v>36.99</v>
      </c>
      <c r="J130" s="24">
        <f>'FY21 w YOY comp'!K134</f>
        <v>100</v>
      </c>
      <c r="K130" s="1">
        <f>'FY21 w YOY comp'!O134</f>
        <v>0</v>
      </c>
      <c r="L130" s="1">
        <f>'FY21 w YOY comp'!P134</f>
        <v>0</v>
      </c>
      <c r="M130" s="1">
        <f>'FY21 w YOY comp'!Q134</f>
        <v>0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hidden="1" customHeight="1" x14ac:dyDescent="0.25">
      <c r="A131" s="46" t="str">
        <f>'FY21 w YOY comp'!A135</f>
        <v xml:space="preserve">         5032 Toner &amp; Ink</v>
      </c>
      <c r="B131" s="47">
        <f>'FY21 w YOY comp'!B135</f>
        <v>3747.64</v>
      </c>
      <c r="C131" s="47">
        <f>'FY21 w YOY comp'!C135</f>
        <v>3131.17</v>
      </c>
      <c r="D131" s="47">
        <f>'FY21 w YOY comp'!D135</f>
        <v>550.36</v>
      </c>
      <c r="E131" s="47">
        <f>'FY21 w YOY comp'!E135</f>
        <v>151.12</v>
      </c>
      <c r="F131" s="47">
        <f>'FY21 w YOY comp'!F135</f>
        <v>71.239999999999995</v>
      </c>
      <c r="G131" s="47">
        <f>'FY21 w YOY comp'!G135</f>
        <v>46.65</v>
      </c>
      <c r="H131" s="22">
        <f>'FY21 w YOY comp'!I135</f>
        <v>170</v>
      </c>
      <c r="I131" s="22">
        <f>'FY21 w YOY comp'!H135</f>
        <v>46.65</v>
      </c>
      <c r="J131" s="24">
        <f>'FY21 w YOY comp'!K135</f>
        <v>150</v>
      </c>
      <c r="K131" s="1">
        <f>'FY21 w YOY comp'!O135</f>
        <v>0</v>
      </c>
      <c r="L131" s="1">
        <f>'FY21 w YOY comp'!P135</f>
        <v>0</v>
      </c>
      <c r="M131" s="1">
        <f>'FY21 w YOY comp'!Q135</f>
        <v>0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hidden="1" customHeight="1" x14ac:dyDescent="0.25">
      <c r="A132" s="122" t="str">
        <f>'FY21 w YOY comp'!A136</f>
        <v xml:space="preserve">      Total 5030 Printing/Copying Materials</v>
      </c>
      <c r="B132" s="178">
        <f>'FY21 w YOY comp'!B136</f>
        <v>4319.49</v>
      </c>
      <c r="C132" s="178">
        <f>'FY21 w YOY comp'!C136</f>
        <v>3337.94</v>
      </c>
      <c r="D132" s="178">
        <f>'FY21 w YOY comp'!D136</f>
        <v>726.19</v>
      </c>
      <c r="E132" s="178">
        <f>'FY21 w YOY comp'!E136</f>
        <v>328.5</v>
      </c>
      <c r="F132" s="178">
        <f>'FY21 w YOY comp'!F136</f>
        <v>200.77999999999997</v>
      </c>
      <c r="G132" s="178">
        <f>'FY21 w YOY comp'!G136</f>
        <v>383.64</v>
      </c>
      <c r="H132" s="178">
        <f>'FY21 w YOY comp'!I136</f>
        <v>370</v>
      </c>
      <c r="I132" s="178">
        <f>'FY21 w YOY comp'!H136</f>
        <v>383.64</v>
      </c>
      <c r="J132" s="180">
        <f>'FY21 w YOY comp'!K136</f>
        <v>250</v>
      </c>
      <c r="K132" s="131">
        <f>'FY21 w YOY comp'!O136</f>
        <v>0</v>
      </c>
      <c r="L132" s="131">
        <f>'FY21 w YOY comp'!P136</f>
        <v>0</v>
      </c>
      <c r="M132" s="131">
        <f>'FY21 w YOY comp'!Q136</f>
        <v>0</v>
      </c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  <c r="AA132" s="131"/>
    </row>
    <row r="133" spans="1:27" ht="15.75" hidden="1" customHeight="1" x14ac:dyDescent="0.25">
      <c r="A133" s="46" t="str">
        <f>'FY21 w YOY comp'!A137</f>
        <v xml:space="preserve">      5035 Printer/Copier</v>
      </c>
      <c r="B133" s="21">
        <f>'FY21 w YOY comp'!B137</f>
        <v>0</v>
      </c>
      <c r="C133" s="47">
        <f>'FY21 w YOY comp'!C137</f>
        <v>429.24</v>
      </c>
      <c r="D133" s="21">
        <f>'FY21 w YOY comp'!D137</f>
        <v>0</v>
      </c>
      <c r="E133" s="21">
        <f>'FY21 w YOY comp'!E137</f>
        <v>0</v>
      </c>
      <c r="F133" s="22">
        <f>'FY21 w YOY comp'!F137</f>
        <v>0</v>
      </c>
      <c r="G133" s="21">
        <f>'FY21 w YOY comp'!G137</f>
        <v>0</v>
      </c>
      <c r="H133" s="22">
        <f>'FY21 w YOY comp'!I137</f>
        <v>0</v>
      </c>
      <c r="I133" s="22">
        <f>'FY21 w YOY comp'!H137</f>
        <v>0</v>
      </c>
      <c r="J133" s="24">
        <f>'FY21 w YOY comp'!K137</f>
        <v>0</v>
      </c>
      <c r="K133" s="1">
        <f>'FY21 w YOY comp'!O137</f>
        <v>0</v>
      </c>
      <c r="L133" s="1">
        <f>'FY21 w YOY comp'!P137</f>
        <v>0</v>
      </c>
      <c r="M133" s="1">
        <f>'FY21 w YOY comp'!Q137</f>
        <v>0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hidden="1" customHeight="1" x14ac:dyDescent="0.25">
      <c r="A134" s="46" t="str">
        <f>'FY21 w YOY comp'!A138</f>
        <v xml:space="preserve">         5036 Lease</v>
      </c>
      <c r="B134" s="21">
        <f>'FY21 w YOY comp'!B138</f>
        <v>0</v>
      </c>
      <c r="C134" s="21">
        <f>'FY21 w YOY comp'!C138</f>
        <v>0</v>
      </c>
      <c r="D134" s="47">
        <f>'FY21 w YOY comp'!D138</f>
        <v>2216.17</v>
      </c>
      <c r="E134" s="47">
        <f>'FY21 w YOY comp'!E138</f>
        <v>2438.92</v>
      </c>
      <c r="F134" s="47">
        <f>'FY21 w YOY comp'!F138</f>
        <v>2614.92</v>
      </c>
      <c r="G134" s="47">
        <f>'FY21 w YOY comp'!G138</f>
        <v>2705.92</v>
      </c>
      <c r="H134" s="22">
        <f>'FY21 w YOY comp'!I138</f>
        <v>2680.92</v>
      </c>
      <c r="I134" s="22">
        <f>'FY21 w YOY comp'!H138</f>
        <v>2705.92</v>
      </c>
      <c r="J134" s="24">
        <f>'FY21 w YOY comp'!K138</f>
        <v>2604</v>
      </c>
      <c r="K134" s="1" t="str">
        <f>'FY21 w YOY comp'!O138</f>
        <v>New copier contract = 36 months @ $190/month to cover 3000 b/w per quarter  (12k/yr) and 1500 color copies per quarter (6k/yr). FY21 projection based on FY19 actuals of 8682 b/w copies and 12296 color. FY21 budget number includes the contract fee plus 6000 color copy overages @0.054/copy</v>
      </c>
      <c r="L134" s="1">
        <f>'FY21 w YOY comp'!P138</f>
        <v>0</v>
      </c>
      <c r="M134" s="1">
        <f>'FY21 w YOY comp'!Q138</f>
        <v>0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hidden="1" customHeight="1" x14ac:dyDescent="0.25">
      <c r="A135" s="46" t="str">
        <f>'FY21 w YOY comp'!A139</f>
        <v xml:space="preserve">         5037 Maintenance</v>
      </c>
      <c r="B135" s="21">
        <f>'FY21 w YOY comp'!B139</f>
        <v>0</v>
      </c>
      <c r="C135" s="21">
        <f>'FY21 w YOY comp'!C139</f>
        <v>0</v>
      </c>
      <c r="D135" s="21">
        <f>'FY21 w YOY comp'!D139</f>
        <v>0</v>
      </c>
      <c r="E135" s="21">
        <f>'FY21 w YOY comp'!E139</f>
        <v>0</v>
      </c>
      <c r="F135" s="22">
        <f>'FY21 w YOY comp'!F139</f>
        <v>0</v>
      </c>
      <c r="G135" s="21">
        <f>'FY21 w YOY comp'!G139</f>
        <v>11.1</v>
      </c>
      <c r="H135" s="22">
        <f>'FY21 w YOY comp'!I139</f>
        <v>0</v>
      </c>
      <c r="I135" s="22">
        <f>'FY21 w YOY comp'!H139</f>
        <v>11.1</v>
      </c>
      <c r="J135" s="24">
        <f>'FY21 w YOY comp'!K139</f>
        <v>0</v>
      </c>
      <c r="K135" s="1" t="str">
        <f>'FY21 w YOY comp'!O139</f>
        <v>New copier contract overages = 0.0121 per b/w copy and 0.054 per color copy</v>
      </c>
      <c r="L135" s="1">
        <f>'FY21 w YOY comp'!P139</f>
        <v>0</v>
      </c>
      <c r="M135" s="1">
        <f>'FY21 w YOY comp'!Q139</f>
        <v>0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hidden="1" customHeight="1" x14ac:dyDescent="0.25">
      <c r="A136" s="122" t="str">
        <f>'FY21 w YOY comp'!A140</f>
        <v xml:space="preserve">      Total 5035 Printer/Copier</v>
      </c>
      <c r="B136" s="178">
        <f>'FY21 w YOY comp'!B140</f>
        <v>0</v>
      </c>
      <c r="C136" s="178">
        <f>'FY21 w YOY comp'!C140</f>
        <v>429.24</v>
      </c>
      <c r="D136" s="178">
        <f>'FY21 w YOY comp'!D140</f>
        <v>2216.17</v>
      </c>
      <c r="E136" s="178">
        <f>'FY21 w YOY comp'!E140</f>
        <v>2438.92</v>
      </c>
      <c r="F136" s="178">
        <f>'FY21 w YOY comp'!F140</f>
        <v>2614.92</v>
      </c>
      <c r="G136" s="178">
        <f>'FY21 w YOY comp'!G140</f>
        <v>2717.02</v>
      </c>
      <c r="H136" s="178">
        <f>'FY21 w YOY comp'!I140</f>
        <v>2680.92</v>
      </c>
      <c r="I136" s="178">
        <f>'FY21 w YOY comp'!H140</f>
        <v>2717.02</v>
      </c>
      <c r="J136" s="180">
        <f>'FY21 w YOY comp'!K140</f>
        <v>2604</v>
      </c>
      <c r="K136" s="131">
        <f>'FY21 w YOY comp'!O140</f>
        <v>0</v>
      </c>
      <c r="L136" s="131">
        <f>'FY21 w YOY comp'!P140</f>
        <v>0</v>
      </c>
      <c r="M136" s="131">
        <f>'FY21 w YOY comp'!Q140</f>
        <v>0</v>
      </c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</row>
    <row r="137" spans="1:27" ht="15.75" hidden="1" customHeight="1" x14ac:dyDescent="0.25">
      <c r="A137" s="122" t="str">
        <f>'FY21 w YOY comp'!A141</f>
        <v xml:space="preserve">      5040 ICON Church Mgmt Online</v>
      </c>
      <c r="B137" s="123">
        <f>'FY21 w YOY comp'!B141</f>
        <v>660</v>
      </c>
      <c r="C137" s="123">
        <f>'FY21 w YOY comp'!C141</f>
        <v>495</v>
      </c>
      <c r="D137" s="123">
        <f>'FY21 w YOY comp'!D141</f>
        <v>605</v>
      </c>
      <c r="E137" s="123">
        <f>'FY21 w YOY comp'!E141</f>
        <v>605</v>
      </c>
      <c r="F137" s="123">
        <f>'FY21 w YOY comp'!F141</f>
        <v>605</v>
      </c>
      <c r="G137" s="123">
        <f>'FY21 w YOY comp'!G141</f>
        <v>605</v>
      </c>
      <c r="H137" s="124">
        <f>'FY21 w YOY comp'!I141</f>
        <v>605</v>
      </c>
      <c r="I137" s="124">
        <f>'FY21 w YOY comp'!H141</f>
        <v>605</v>
      </c>
      <c r="J137" s="127">
        <f>'FY21 w YOY comp'!K141</f>
        <v>605</v>
      </c>
      <c r="K137" s="131">
        <f>'FY21 w YOY comp'!O141</f>
        <v>0</v>
      </c>
      <c r="L137" s="131">
        <f>'FY21 w YOY comp'!P141</f>
        <v>0</v>
      </c>
      <c r="M137" s="131">
        <f>'FY21 w YOY comp'!Q141</f>
        <v>0</v>
      </c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</row>
    <row r="138" spans="1:27" ht="15.75" hidden="1" customHeight="1" x14ac:dyDescent="0.25">
      <c r="A138" s="46" t="str">
        <f>'FY21 w YOY comp'!A142</f>
        <v xml:space="preserve">      5045 Software Subscriptions</v>
      </c>
      <c r="B138" s="47">
        <f>'FY21 w YOY comp'!B142</f>
        <v>1214.3599999999999</v>
      </c>
      <c r="C138" s="47">
        <f>'FY21 w YOY comp'!C142</f>
        <v>1302.05</v>
      </c>
      <c r="D138" s="47">
        <f>'FY21 w YOY comp'!D142</f>
        <v>1486.88</v>
      </c>
      <c r="E138" s="47">
        <f>'FY21 w YOY comp'!E142</f>
        <v>1952.88</v>
      </c>
      <c r="F138" s="47">
        <f>'FY21 w YOY comp'!F142</f>
        <v>780.96</v>
      </c>
      <c r="G138" s="21">
        <f>'FY21 w YOY comp'!G142</f>
        <v>0</v>
      </c>
      <c r="H138" s="55">
        <f>'FY21 w YOY comp'!I142</f>
        <v>0</v>
      </c>
      <c r="I138" s="22">
        <f>'FY21 w YOY comp'!H142</f>
        <v>0</v>
      </c>
      <c r="J138" s="73">
        <f>'FY21 w YOY comp'!K142</f>
        <v>0</v>
      </c>
      <c r="K138" s="1">
        <f>'FY21 w YOY comp'!O142</f>
        <v>0</v>
      </c>
      <c r="L138" s="1">
        <f>'FY21 w YOY comp'!P142</f>
        <v>0</v>
      </c>
      <c r="M138" s="1">
        <f>'FY21 w YOY comp'!Q142</f>
        <v>0</v>
      </c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hidden="1" customHeight="1" x14ac:dyDescent="0.25">
      <c r="A139" s="46" t="str">
        <f>'FY21 w YOY comp'!A143</f>
        <v xml:space="preserve">         5046 Tithely Mobile App</v>
      </c>
      <c r="B139" s="21">
        <f>'FY21 w YOY comp'!B143</f>
        <v>0</v>
      </c>
      <c r="C139" s="21">
        <f>'FY21 w YOY comp'!C143</f>
        <v>0</v>
      </c>
      <c r="D139" s="21">
        <f>'FY21 w YOY comp'!D143</f>
        <v>0</v>
      </c>
      <c r="E139" s="21">
        <f>'FY21 w YOY comp'!E143</f>
        <v>0</v>
      </c>
      <c r="F139" s="47">
        <f>'FY21 w YOY comp'!F143</f>
        <v>472</v>
      </c>
      <c r="G139" s="47">
        <f>'FY21 w YOY comp'!G143</f>
        <v>649</v>
      </c>
      <c r="H139" s="55">
        <f>'FY21 w YOY comp'!I143</f>
        <v>720</v>
      </c>
      <c r="I139" s="22">
        <f>'FY21 w YOY comp'!H143</f>
        <v>649</v>
      </c>
      <c r="J139" s="73">
        <f>'FY21 w YOY comp'!K143</f>
        <v>708</v>
      </c>
      <c r="K139" s="1" t="str">
        <f>'FY21 w YOY comp'!O143</f>
        <v>$59/month</v>
      </c>
      <c r="L139" s="1">
        <f>'FY21 w YOY comp'!P143</f>
        <v>0</v>
      </c>
      <c r="M139" s="1">
        <f>'FY21 w YOY comp'!Q143</f>
        <v>0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hidden="1" customHeight="1" x14ac:dyDescent="0.25">
      <c r="A140" s="46" t="str">
        <f>'FY21 w YOY comp'!A144</f>
        <v xml:space="preserve">         5047 Quickbooks</v>
      </c>
      <c r="B140" s="21">
        <f>'FY21 w YOY comp'!B144</f>
        <v>0</v>
      </c>
      <c r="C140" s="21">
        <f>'FY21 w YOY comp'!C144</f>
        <v>0</v>
      </c>
      <c r="D140" s="21">
        <f>'FY21 w YOY comp'!D144</f>
        <v>0</v>
      </c>
      <c r="E140" s="21">
        <f>'FY21 w YOY comp'!E144</f>
        <v>0</v>
      </c>
      <c r="F140" s="47">
        <f>'FY21 w YOY comp'!F144</f>
        <v>560</v>
      </c>
      <c r="G140" s="47">
        <f>'FY21 w YOY comp'!G144</f>
        <v>770</v>
      </c>
      <c r="H140" s="55">
        <f>'FY21 w YOY comp'!I144</f>
        <v>840</v>
      </c>
      <c r="I140" s="22">
        <f>'FY21 w YOY comp'!H144</f>
        <v>770</v>
      </c>
      <c r="J140" s="73">
        <f>'FY21 w YOY comp'!K144</f>
        <v>840</v>
      </c>
      <c r="K140" s="1" t="str">
        <f>'FY21 w YOY comp'!O144</f>
        <v>$80/month</v>
      </c>
      <c r="L140" s="1">
        <f>'FY21 w YOY comp'!P144</f>
        <v>0</v>
      </c>
      <c r="M140" s="1">
        <f>'FY21 w YOY comp'!Q144</f>
        <v>0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hidden="1" customHeight="1" x14ac:dyDescent="0.25">
      <c r="A141" s="46" t="str">
        <f>'FY21 w YOY comp'!A145</f>
        <v xml:space="preserve">         5048 Payroll</v>
      </c>
      <c r="B141" s="21">
        <f>'FY21 w YOY comp'!B145</f>
        <v>0</v>
      </c>
      <c r="C141" s="21">
        <f>'FY21 w YOY comp'!C145</f>
        <v>0</v>
      </c>
      <c r="D141" s="21">
        <f>'FY21 w YOY comp'!D145</f>
        <v>0</v>
      </c>
      <c r="E141" s="21">
        <f>'FY21 w YOY comp'!E145</f>
        <v>0</v>
      </c>
      <c r="F141" s="47">
        <f>'FY21 w YOY comp'!F145</f>
        <v>529</v>
      </c>
      <c r="G141" s="47">
        <f>'FY21 w YOY comp'!G145</f>
        <v>774</v>
      </c>
      <c r="H141" s="55">
        <f>'FY21 w YOY comp'!I145</f>
        <v>852</v>
      </c>
      <c r="I141" s="22">
        <f>'FY21 w YOY comp'!H145</f>
        <v>774</v>
      </c>
      <c r="J141" s="73">
        <f>'FY21 w YOY comp'!K145</f>
        <v>996</v>
      </c>
      <c r="K141" s="1" t="str">
        <f>'FY21 w YOY comp'!O145</f>
        <v>$73/month, but will change with staffing updates.  Calculation is $45 base cost + $4/employee (at 7 employees)</v>
      </c>
      <c r="L141" s="1">
        <f>'FY21 w YOY comp'!P145</f>
        <v>0</v>
      </c>
      <c r="M141" s="1">
        <f>'FY21 w YOY comp'!Q145</f>
        <v>0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hidden="1" customHeight="1" x14ac:dyDescent="0.25">
      <c r="A142" s="46" t="str">
        <f>'FY21 w YOY comp'!A146</f>
        <v xml:space="preserve">         5049 ZOOM</v>
      </c>
      <c r="B142" s="21">
        <f>'FY21 w YOY comp'!B146</f>
        <v>0</v>
      </c>
      <c r="C142" s="21">
        <f>'FY21 w YOY comp'!C146</f>
        <v>0</v>
      </c>
      <c r="D142" s="21">
        <f>'FY21 w YOY comp'!D146</f>
        <v>0</v>
      </c>
      <c r="E142" s="21">
        <f>'FY21 w YOY comp'!E146</f>
        <v>0</v>
      </c>
      <c r="F142" s="47">
        <f>'FY21 w YOY comp'!F146</f>
        <v>225.35</v>
      </c>
      <c r="G142" s="47">
        <f>'FY21 w YOY comp'!G146</f>
        <v>225.35</v>
      </c>
      <c r="H142" s="55">
        <f>'FY21 w YOY comp'!I146</f>
        <v>179.88</v>
      </c>
      <c r="I142" s="22">
        <f>'FY21 w YOY comp'!H146</f>
        <v>225.35</v>
      </c>
      <c r="J142" s="73">
        <f>'FY21 w YOY comp'!K146</f>
        <v>150</v>
      </c>
      <c r="K142" s="1" t="str">
        <f>'FY21 w YOY comp'!O146</f>
        <v>Annual subscription</v>
      </c>
      <c r="L142" s="1">
        <f>'FY21 w YOY comp'!P146</f>
        <v>0</v>
      </c>
      <c r="M142" s="1">
        <f>'FY21 w YOY comp'!Q146</f>
        <v>0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hidden="1" customHeight="1" x14ac:dyDescent="0.25">
      <c r="A143" s="48" t="str">
        <f>'FY21 w YOY comp'!A147</f>
        <v xml:space="preserve">         5050 Electronic File Storage</v>
      </c>
      <c r="B143" s="47">
        <f>'FY21 w YOY comp'!B147</f>
        <v>60</v>
      </c>
      <c r="C143" s="47">
        <f>'FY21 w YOY comp'!C147</f>
        <v>60</v>
      </c>
      <c r="D143" s="47">
        <f>'FY21 w YOY comp'!D147</f>
        <v>60</v>
      </c>
      <c r="E143" s="47">
        <f>'FY21 w YOY comp'!E147</f>
        <v>65</v>
      </c>
      <c r="F143" s="47">
        <f>'FY21 w YOY comp'!F147</f>
        <v>65</v>
      </c>
      <c r="G143" s="47">
        <f>'FY21 w YOY comp'!G147</f>
        <v>55</v>
      </c>
      <c r="H143" s="22">
        <f>'FY21 w YOY comp'!I147</f>
        <v>60</v>
      </c>
      <c r="I143" s="22">
        <f>'FY21 w YOY comp'!H147</f>
        <v>55</v>
      </c>
      <c r="J143" s="24">
        <f>'FY21 w YOY comp'!K147</f>
        <v>23.88</v>
      </c>
      <c r="K143" s="190" t="str">
        <f>'FY21 w YOY comp'!O147</f>
        <v>Backpack $5/month and Google $20/year</v>
      </c>
      <c r="L143" s="1">
        <f>'FY21 w YOY comp'!P147</f>
        <v>0</v>
      </c>
      <c r="M143" s="1">
        <f>'FY21 w YOY comp'!Q147</f>
        <v>0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hidden="1" customHeight="1" x14ac:dyDescent="0.25">
      <c r="A144" s="48" t="str">
        <f>'FY21 w YOY comp'!A148</f>
        <v xml:space="preserve">         5051 Worship Software</v>
      </c>
      <c r="B144" s="21">
        <f>'FY21 w YOY comp'!B148</f>
        <v>0</v>
      </c>
      <c r="C144" s="21">
        <f>'FY21 w YOY comp'!C148</f>
        <v>0</v>
      </c>
      <c r="D144" s="21">
        <f>'FY21 w YOY comp'!D148</f>
        <v>0</v>
      </c>
      <c r="E144" s="21">
        <f>'FY21 w YOY comp'!E148</f>
        <v>0</v>
      </c>
      <c r="F144" s="47">
        <f>'FY21 w YOY comp'!F148</f>
        <v>44.66</v>
      </c>
      <c r="G144" s="47">
        <f>'FY21 w YOY comp'!G148</f>
        <v>135.30000000000001</v>
      </c>
      <c r="H144" s="55">
        <f>'FY21 w YOY comp'!I148</f>
        <v>0</v>
      </c>
      <c r="I144" s="22">
        <f>'FY21 w YOY comp'!H148</f>
        <v>135.30000000000001</v>
      </c>
      <c r="J144" s="24">
        <f>'FY21 w YOY comp'!K148</f>
        <v>1000</v>
      </c>
      <c r="K144" s="190" t="str">
        <f>'FY21 w YOY comp'!O148</f>
        <v>Software upgrade to ProPresenter+: $999 license</v>
      </c>
      <c r="L144" s="1">
        <f>'FY21 w YOY comp'!P148</f>
        <v>0</v>
      </c>
      <c r="M144" s="1">
        <f>'FY21 w YOY comp'!Q148</f>
        <v>0</v>
      </c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hidden="1" customHeight="1" x14ac:dyDescent="0.25">
      <c r="A145" s="46" t="str">
        <f>'FY21 w YOY comp'!A149</f>
        <v xml:space="preserve">         5055 Newsletter</v>
      </c>
      <c r="B145" s="21">
        <f>'FY21 w YOY comp'!B149</f>
        <v>0</v>
      </c>
      <c r="C145" s="21">
        <f>'FY21 w YOY comp'!C149</f>
        <v>0</v>
      </c>
      <c r="D145" s="47">
        <f>'FY21 w YOY comp'!D149</f>
        <v>186</v>
      </c>
      <c r="E145" s="47">
        <f>'FY21 w YOY comp'!E149</f>
        <v>260</v>
      </c>
      <c r="F145" s="47">
        <f>'FY21 w YOY comp'!F149</f>
        <v>260</v>
      </c>
      <c r="G145" s="47">
        <f>'FY21 w YOY comp'!G149</f>
        <v>220</v>
      </c>
      <c r="H145" s="235">
        <f>'FY21 w YOY comp'!I149</f>
        <v>240</v>
      </c>
      <c r="I145" s="22">
        <f>'FY21 w YOY comp'!H149</f>
        <v>220</v>
      </c>
      <c r="J145" s="237">
        <f>'FY21 w YOY comp'!K149</f>
        <v>240</v>
      </c>
      <c r="K145" s="190" t="str">
        <f>'FY21 w YOY comp'!O149</f>
        <v>$20/month</v>
      </c>
      <c r="L145" s="1">
        <f>'FY21 w YOY comp'!P149</f>
        <v>0</v>
      </c>
      <c r="M145" s="1">
        <f>'FY21 w YOY comp'!Q149</f>
        <v>0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hidden="1" customHeight="1" x14ac:dyDescent="0.25">
      <c r="A146" s="122" t="str">
        <f>'FY21 w YOY comp'!A150</f>
        <v xml:space="preserve">      Total 5045 Software Subscriptions</v>
      </c>
      <c r="B146" s="178">
        <f>'FY21 w YOY comp'!B150</f>
        <v>1274.3599999999999</v>
      </c>
      <c r="C146" s="178">
        <f>'FY21 w YOY comp'!C150</f>
        <v>1362.05</v>
      </c>
      <c r="D146" s="178">
        <f>'FY21 w YOY comp'!D150</f>
        <v>1732.88</v>
      </c>
      <c r="E146" s="178">
        <f>'FY21 w YOY comp'!E150</f>
        <v>2277.88</v>
      </c>
      <c r="F146" s="178">
        <f>'FY21 w YOY comp'!F150</f>
        <v>2936.97</v>
      </c>
      <c r="G146" s="178">
        <f>'FY21 w YOY comp'!G150</f>
        <v>2828.65</v>
      </c>
      <c r="H146" s="178">
        <f>'FY21 w YOY comp'!I150</f>
        <v>2891.88</v>
      </c>
      <c r="I146" s="178">
        <f>'FY21 w YOY comp'!H150</f>
        <v>2828.65</v>
      </c>
      <c r="J146" s="180">
        <f>'FY21 w YOY comp'!K150</f>
        <v>3957.88</v>
      </c>
      <c r="K146" s="131">
        <f>'FY21 w YOY comp'!O150</f>
        <v>0</v>
      </c>
      <c r="L146" s="131">
        <f>'FY21 w YOY comp'!P150</f>
        <v>0</v>
      </c>
      <c r="M146" s="131">
        <f>'FY21 w YOY comp'!Q150</f>
        <v>0</v>
      </c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</row>
    <row r="147" spans="1:27" ht="15.75" hidden="1" customHeight="1" x14ac:dyDescent="0.25">
      <c r="A147" s="122" t="str">
        <f>'FY21 w YOY comp'!A151</f>
        <v xml:space="preserve">      5065 Miscellaneous (deleted)</v>
      </c>
      <c r="B147" s="123">
        <f>'FY21 w YOY comp'!B151</f>
        <v>421.94</v>
      </c>
      <c r="C147" s="123">
        <f>'FY21 w YOY comp'!C151</f>
        <v>677.37</v>
      </c>
      <c r="D147" s="123">
        <f>'FY21 w YOY comp'!D151</f>
        <v>338.15</v>
      </c>
      <c r="E147" s="125">
        <f>'FY21 w YOY comp'!E151</f>
        <v>0</v>
      </c>
      <c r="F147" s="124">
        <f>'FY21 w YOY comp'!F151</f>
        <v>0</v>
      </c>
      <c r="G147" s="125">
        <f>'FY21 w YOY comp'!G151</f>
        <v>0</v>
      </c>
      <c r="H147" s="59">
        <f>'FY21 w YOY comp'!I151</f>
        <v>0</v>
      </c>
      <c r="I147" s="124">
        <f>'FY21 w YOY comp'!H151</f>
        <v>0</v>
      </c>
      <c r="J147" s="61">
        <f>'FY21 w YOY comp'!K151</f>
        <v>0</v>
      </c>
      <c r="K147" s="131">
        <f>'FY21 w YOY comp'!O151</f>
        <v>0</v>
      </c>
      <c r="L147" s="131">
        <f>'FY21 w YOY comp'!P151</f>
        <v>0</v>
      </c>
      <c r="M147" s="131">
        <f>'FY21 w YOY comp'!Q151</f>
        <v>0</v>
      </c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</row>
    <row r="148" spans="1:27" ht="15.75" hidden="1" customHeight="1" x14ac:dyDescent="0.25">
      <c r="A148" s="122" t="str">
        <f>'FY21 w YOY comp'!A152</f>
        <v xml:space="preserve">      5070 Bank Fees</v>
      </c>
      <c r="B148" s="123">
        <f>'FY21 w YOY comp'!B152</f>
        <v>30.6</v>
      </c>
      <c r="C148" s="123">
        <f>'FY21 w YOY comp'!C152</f>
        <v>22.3</v>
      </c>
      <c r="D148" s="123">
        <f>'FY21 w YOY comp'!D152</f>
        <v>41.3</v>
      </c>
      <c r="E148" s="123">
        <f>'FY21 w YOY comp'!E152</f>
        <v>734.04</v>
      </c>
      <c r="F148" s="123">
        <f>'FY21 w YOY comp'!F152</f>
        <v>-284.20999999999998</v>
      </c>
      <c r="G148" s="123">
        <f>'FY21 w YOY comp'!G152</f>
        <v>-649.89</v>
      </c>
      <c r="H148" s="124">
        <f>'FY21 w YOY comp'!I152</f>
        <v>70</v>
      </c>
      <c r="I148" s="124">
        <f>'FY21 w YOY comp'!H152</f>
        <v>-649.89</v>
      </c>
      <c r="J148" s="127">
        <f>'FY21 w YOY comp'!K152</f>
        <v>50</v>
      </c>
      <c r="K148" s="131" t="str">
        <f>'FY21 w YOY comp'!O152</f>
        <v>2020- funds that came in after recovery of stolen checks</v>
      </c>
      <c r="L148" s="131">
        <f>'FY21 w YOY comp'!P152</f>
        <v>0</v>
      </c>
      <c r="M148" s="131">
        <f>'FY21 w YOY comp'!Q152</f>
        <v>0</v>
      </c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  <c r="AA148" s="131"/>
    </row>
    <row r="149" spans="1:27" ht="15.75" hidden="1" customHeight="1" x14ac:dyDescent="0.25">
      <c r="A149" s="122" t="str">
        <f>'FY21 w YOY comp'!A153</f>
        <v xml:space="preserve">      5075 Finance Charges (deleted)</v>
      </c>
      <c r="B149" s="125">
        <f>'FY21 w YOY comp'!B153</f>
        <v>0</v>
      </c>
      <c r="C149" s="125">
        <f>'FY21 w YOY comp'!C153</f>
        <v>0</v>
      </c>
      <c r="D149" s="125">
        <f>'FY21 w YOY comp'!D153</f>
        <v>0</v>
      </c>
      <c r="E149" s="125">
        <f>'FY21 w YOY comp'!E153</f>
        <v>0</v>
      </c>
      <c r="F149" s="124">
        <f>'FY21 w YOY comp'!F153</f>
        <v>0</v>
      </c>
      <c r="G149" s="125">
        <f>'FY21 w YOY comp'!G153</f>
        <v>0</v>
      </c>
      <c r="H149" s="59">
        <f>'FY21 w YOY comp'!I153</f>
        <v>0</v>
      </c>
      <c r="I149" s="124">
        <f>'FY21 w YOY comp'!H153</f>
        <v>0</v>
      </c>
      <c r="J149" s="61">
        <f>'FY21 w YOY comp'!K153</f>
        <v>0</v>
      </c>
      <c r="K149" s="131">
        <f>'FY21 w YOY comp'!O153</f>
        <v>0</v>
      </c>
      <c r="L149" s="131">
        <f>'FY21 w YOY comp'!P153</f>
        <v>0</v>
      </c>
      <c r="M149" s="131">
        <f>'FY21 w YOY comp'!Q153</f>
        <v>0</v>
      </c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  <c r="AA149" s="131"/>
    </row>
    <row r="150" spans="1:27" ht="15.75" hidden="1" customHeight="1" x14ac:dyDescent="0.25">
      <c r="A150" s="122" t="str">
        <f>'FY21 w YOY comp'!A154</f>
        <v xml:space="preserve">      5080 Attorney Fees (deleted)</v>
      </c>
      <c r="B150" s="125">
        <f>'FY21 w YOY comp'!B154</f>
        <v>0</v>
      </c>
      <c r="C150" s="125">
        <f>'FY21 w YOY comp'!C154</f>
        <v>0</v>
      </c>
      <c r="D150" s="125">
        <f>'FY21 w YOY comp'!D154</f>
        <v>0</v>
      </c>
      <c r="E150" s="125">
        <f>'FY21 w YOY comp'!E154</f>
        <v>0</v>
      </c>
      <c r="F150" s="124">
        <f>'FY21 w YOY comp'!F154</f>
        <v>0</v>
      </c>
      <c r="G150" s="125">
        <f>'FY21 w YOY comp'!G154</f>
        <v>0</v>
      </c>
      <c r="H150" s="59">
        <f>'FY21 w YOY comp'!I154</f>
        <v>0</v>
      </c>
      <c r="I150" s="124">
        <f>'FY21 w YOY comp'!H154</f>
        <v>0</v>
      </c>
      <c r="J150" s="61">
        <f>'FY21 w YOY comp'!K154</f>
        <v>0</v>
      </c>
      <c r="K150" s="131">
        <f>'FY21 w YOY comp'!O154</f>
        <v>0</v>
      </c>
      <c r="L150" s="131">
        <f>'FY21 w YOY comp'!P154</f>
        <v>0</v>
      </c>
      <c r="M150" s="131">
        <f>'FY21 w YOY comp'!Q154</f>
        <v>0</v>
      </c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</row>
    <row r="151" spans="1:27" ht="15.75" hidden="1" customHeight="1" x14ac:dyDescent="0.25">
      <c r="A151" s="122" t="str">
        <f>'FY21 w YOY comp'!A155</f>
        <v xml:space="preserve">      5085 Synod Conferences</v>
      </c>
      <c r="B151" s="123">
        <f>'FY21 w YOY comp'!B155</f>
        <v>1282.24</v>
      </c>
      <c r="C151" s="123">
        <f>'FY21 w YOY comp'!C155</f>
        <v>1775.76</v>
      </c>
      <c r="D151" s="123">
        <f>'FY21 w YOY comp'!D155</f>
        <v>704.64</v>
      </c>
      <c r="E151" s="123">
        <f>'FY21 w YOY comp'!E155</f>
        <v>894.2</v>
      </c>
      <c r="F151" s="124">
        <f>'FY21 w YOY comp'!F155</f>
        <v>0</v>
      </c>
      <c r="G151" s="125">
        <f>'FY21 w YOY comp'!G155</f>
        <v>0</v>
      </c>
      <c r="H151" s="124">
        <f>'FY21 w YOY comp'!I155</f>
        <v>0</v>
      </c>
      <c r="I151" s="124">
        <f>'FY21 w YOY comp'!H155</f>
        <v>0</v>
      </c>
      <c r="J151" s="127">
        <f>'FY21 w YOY comp'!K155</f>
        <v>200</v>
      </c>
      <c r="K151" s="131" t="str">
        <f>'FY21 w YOY comp'!O155</f>
        <v>will be virtual @$50/person, allowed to bring 4 ppl</v>
      </c>
      <c r="L151" s="131">
        <f>'FY21 w YOY comp'!P155</f>
        <v>0</v>
      </c>
      <c r="M151" s="131">
        <f>'FY21 w YOY comp'!Q155</f>
        <v>0</v>
      </c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</row>
    <row r="152" spans="1:27" ht="15.75" hidden="1" customHeight="1" x14ac:dyDescent="0.25">
      <c r="A152" s="122" t="str">
        <f>'FY21 w YOY comp'!A156</f>
        <v xml:space="preserve">      5090 Office Water Service</v>
      </c>
      <c r="B152" s="123">
        <f>'FY21 w YOY comp'!B156</f>
        <v>575</v>
      </c>
      <c r="C152" s="123">
        <f>'FY21 w YOY comp'!C156</f>
        <v>465</v>
      </c>
      <c r="D152" s="123">
        <f>'FY21 w YOY comp'!D156</f>
        <v>482.5</v>
      </c>
      <c r="E152" s="123">
        <f>'FY21 w YOY comp'!E156</f>
        <v>440.98</v>
      </c>
      <c r="F152" s="123">
        <f>'FY21 w YOY comp'!F156</f>
        <v>327.98</v>
      </c>
      <c r="G152" s="123">
        <f>'FY21 w YOY comp'!G156</f>
        <v>321</v>
      </c>
      <c r="H152" s="124">
        <f>'FY21 w YOY comp'!I156</f>
        <v>500</v>
      </c>
      <c r="I152" s="124">
        <f>'FY21 w YOY comp'!H156</f>
        <v>321</v>
      </c>
      <c r="J152" s="127">
        <f>'FY21 w YOY comp'!K156</f>
        <v>525</v>
      </c>
      <c r="K152" s="131" t="str">
        <f>'FY21 w YOY comp'!O156</f>
        <v>2 jugs per week on average (with Yotter use); $7.50/jug. Assumes parsonage water is working, and we're not back in the hall until mid-year.</v>
      </c>
      <c r="L152" s="131">
        <f>'FY21 w YOY comp'!P156</f>
        <v>0</v>
      </c>
      <c r="M152" s="131">
        <f>'FY21 w YOY comp'!Q156</f>
        <v>0</v>
      </c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</row>
    <row r="153" spans="1:27" ht="15.75" customHeight="1" x14ac:dyDescent="0.25">
      <c r="A153" s="217" t="str">
        <f>'FY21 w YOY comp'!A157</f>
        <v xml:space="preserve">   Total 5000 Office</v>
      </c>
      <c r="B153" s="218">
        <f>'FY21 w YOY comp'!B157</f>
        <v>9423.01</v>
      </c>
      <c r="C153" s="218">
        <f>'FY21 w YOY comp'!C157</f>
        <v>9497.89</v>
      </c>
      <c r="D153" s="218">
        <f>'FY21 w YOY comp'!D157</f>
        <v>8317.27</v>
      </c>
      <c r="E153" s="218">
        <f>'FY21 w YOY comp'!E157</f>
        <v>14079.2</v>
      </c>
      <c r="F153" s="218">
        <f>'FY21 w YOY comp'!F157</f>
        <v>12930.16</v>
      </c>
      <c r="G153" s="218">
        <f>'FY21 w YOY comp'!G157</f>
        <v>10751.54</v>
      </c>
      <c r="H153" s="218">
        <f>'FY21 w YOY comp'!I157</f>
        <v>13084.68</v>
      </c>
      <c r="I153" s="218">
        <f>'FY21 w YOY comp'!H157</f>
        <v>10751.54</v>
      </c>
      <c r="J153" s="220">
        <f>'FY21 w YOY comp'!K157</f>
        <v>16561.88</v>
      </c>
      <c r="K153" s="224">
        <f>'FY21 w YOY comp'!O157</f>
        <v>0</v>
      </c>
      <c r="L153" s="224">
        <f>'FY21 w YOY comp'!P157</f>
        <v>0</v>
      </c>
      <c r="M153" s="224">
        <f>'FY21 w YOY comp'!Q157</f>
        <v>0</v>
      </c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</row>
    <row r="154" spans="1:27" ht="15.75" hidden="1" customHeight="1" x14ac:dyDescent="0.25">
      <c r="A154" s="20">
        <f>'FY21 w YOY comp'!A158</f>
        <v>0</v>
      </c>
      <c r="B154" s="21">
        <f>'FY21 w YOY comp'!B158</f>
        <v>0</v>
      </c>
      <c r="C154" s="21">
        <f>'FY21 w YOY comp'!C158</f>
        <v>0</v>
      </c>
      <c r="D154" s="21">
        <f>'FY21 w YOY comp'!D158</f>
        <v>0</v>
      </c>
      <c r="E154" s="47">
        <f>'FY21 w YOY comp'!E158</f>
        <v>0</v>
      </c>
      <c r="F154" s="47">
        <f>'FY21 w YOY comp'!F158</f>
        <v>0</v>
      </c>
      <c r="G154" s="21">
        <f>'FY21 w YOY comp'!G158</f>
        <v>0</v>
      </c>
      <c r="H154" s="22">
        <f>'FY21 w YOY comp'!I158</f>
        <v>0</v>
      </c>
      <c r="I154" s="22">
        <f>'FY21 w YOY comp'!H158</f>
        <v>0</v>
      </c>
      <c r="J154" s="24">
        <f>'FY21 w YOY comp'!K158</f>
        <v>0</v>
      </c>
      <c r="K154" s="1">
        <f>'FY21 w YOY comp'!O158</f>
        <v>0</v>
      </c>
      <c r="L154" s="1">
        <f>'FY21 w YOY comp'!P158</f>
        <v>0</v>
      </c>
      <c r="M154" s="1">
        <f>'FY21 w YOY comp'!Q158</f>
        <v>0</v>
      </c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hidden="1" customHeight="1" x14ac:dyDescent="0.25">
      <c r="A155" s="122" t="str">
        <f>'FY21 w YOY comp'!A159</f>
        <v xml:space="preserve">   5100 Property/Maintenance</v>
      </c>
      <c r="B155" s="125">
        <f>'FY21 w YOY comp'!B159</f>
        <v>0</v>
      </c>
      <c r="C155" s="125">
        <f>'FY21 w YOY comp'!C159</f>
        <v>0</v>
      </c>
      <c r="D155" s="125">
        <f>'FY21 w YOY comp'!D159</f>
        <v>0</v>
      </c>
      <c r="E155" s="123">
        <f>'FY21 w YOY comp'!E159</f>
        <v>33121.83</v>
      </c>
      <c r="F155" s="123">
        <f>'FY21 w YOY comp'!F159</f>
        <v>33121.83</v>
      </c>
      <c r="G155" s="125">
        <f>'FY21 w YOY comp'!G159</f>
        <v>0</v>
      </c>
      <c r="H155" s="124">
        <f>'FY21 w YOY comp'!I159</f>
        <v>0</v>
      </c>
      <c r="I155" s="124">
        <f>'FY21 w YOY comp'!H159</f>
        <v>0</v>
      </c>
      <c r="J155" s="127">
        <f>'FY21 w YOY comp'!K159</f>
        <v>0</v>
      </c>
      <c r="K155" s="131">
        <f>'FY21 w YOY comp'!O159</f>
        <v>0</v>
      </c>
      <c r="L155" s="131">
        <f>'FY21 w YOY comp'!P159</f>
        <v>0</v>
      </c>
      <c r="M155" s="131">
        <f>'FY21 w YOY comp'!Q159</f>
        <v>0</v>
      </c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  <c r="AA155" s="131"/>
    </row>
    <row r="156" spans="1:27" ht="15.75" hidden="1" customHeight="1" x14ac:dyDescent="0.25">
      <c r="A156" s="122" t="str">
        <f>'FY21 w YOY comp'!A160</f>
        <v xml:space="preserve">      5101 Property NCC expanded ministry</v>
      </c>
      <c r="B156" s="125">
        <f>'FY21 w YOY comp'!B160</f>
        <v>0</v>
      </c>
      <c r="C156" s="125">
        <f>'FY21 w YOY comp'!C160</f>
        <v>0</v>
      </c>
      <c r="D156" s="123">
        <f>'FY21 w YOY comp'!D160</f>
        <v>3675</v>
      </c>
      <c r="E156" s="123">
        <f>'FY21 w YOY comp'!E160</f>
        <v>9196.1</v>
      </c>
      <c r="F156" s="123">
        <f>'FY21 w YOY comp'!F160</f>
        <v>30.51</v>
      </c>
      <c r="G156" s="125">
        <f>'FY21 w YOY comp'!G160</f>
        <v>0</v>
      </c>
      <c r="H156" s="124">
        <f>'FY21 w YOY comp'!I160</f>
        <v>0</v>
      </c>
      <c r="I156" s="124">
        <f>'FY21 w YOY comp'!H160</f>
        <v>0</v>
      </c>
      <c r="J156" s="127">
        <f>'FY21 w YOY comp'!K160</f>
        <v>0</v>
      </c>
      <c r="K156" s="131">
        <f>'FY21 w YOY comp'!O160</f>
        <v>0</v>
      </c>
      <c r="L156" s="131">
        <f>'FY21 w YOY comp'!P160</f>
        <v>0</v>
      </c>
      <c r="M156" s="131">
        <f>'FY21 w YOY comp'!Q160</f>
        <v>0</v>
      </c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</row>
    <row r="157" spans="1:27" ht="15.75" hidden="1" customHeight="1" x14ac:dyDescent="0.25">
      <c r="A157" s="46" t="str">
        <f>'FY21 w YOY comp'!A161</f>
        <v xml:space="preserve">      5110 Mortgage Payment</v>
      </c>
      <c r="B157" s="47">
        <f>'FY21 w YOY comp'!B161</f>
        <v>91128</v>
      </c>
      <c r="C157" s="47">
        <f>'FY21 w YOY comp'!C161</f>
        <v>91128</v>
      </c>
      <c r="D157" s="47">
        <f>'FY21 w YOY comp'!D161</f>
        <v>61475.8</v>
      </c>
      <c r="E157" s="47">
        <f>'FY21 w YOY comp'!E161</f>
        <v>19962.72</v>
      </c>
      <c r="F157" s="47">
        <f>'FY21 w YOY comp'!F161</f>
        <v>19962.72</v>
      </c>
      <c r="G157" s="47">
        <f>'FY21 w YOY comp'!G161</f>
        <v>19962.72</v>
      </c>
      <c r="H157" s="22">
        <f>'FY21 w YOY comp'!I161</f>
        <v>19962.72</v>
      </c>
      <c r="I157" s="22">
        <f>'FY21 w YOY comp'!H161</f>
        <v>19962.72</v>
      </c>
      <c r="J157" s="24">
        <f>'FY21 w YOY comp'!K161</f>
        <v>37825</v>
      </c>
      <c r="K157" s="1" t="str">
        <f>'FY21 w YOY comp'!O161</f>
        <v>$1972 is the monthly mortgage payment. FY21 pull $1794 from Operating budget and use $178/month ($2136/yr) from NCC hold back account. In FY22, we will pay $1868 from Op budget and use $104/month from NCC hold back account. This line item also includes the NC income line item 2065A, which will be paid in a one-time lump sum at the end of NCC in May.</v>
      </c>
      <c r="L157" s="1">
        <f>'FY21 w YOY comp'!P161</f>
        <v>0</v>
      </c>
      <c r="M157" s="1">
        <f>'FY21 w YOY comp'!Q161</f>
        <v>0</v>
      </c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hidden="1" customHeight="1" x14ac:dyDescent="0.25">
      <c r="A158" s="46" t="str">
        <f>'FY21 w YOY comp'!A162</f>
        <v xml:space="preserve">         5111 Expanded Ministry</v>
      </c>
      <c r="B158" s="21">
        <f>'FY21 w YOY comp'!B162</f>
        <v>0</v>
      </c>
      <c r="C158" s="21">
        <f>'FY21 w YOY comp'!C162</f>
        <v>0</v>
      </c>
      <c r="D158" s="47">
        <f>'FY21 w YOY comp'!D162</f>
        <v>22077.200000000001</v>
      </c>
      <c r="E158" s="21">
        <f>'FY21 w YOY comp'!E162</f>
        <v>0</v>
      </c>
      <c r="F158" s="22">
        <f>'FY21 w YOY comp'!F162</f>
        <v>0</v>
      </c>
      <c r="G158" s="21">
        <f>'FY21 w YOY comp'!G162</f>
        <v>0</v>
      </c>
      <c r="H158" s="22">
        <f>'FY21 w YOY comp'!I162</f>
        <v>0</v>
      </c>
      <c r="I158" s="22">
        <f>'FY21 w YOY comp'!H162</f>
        <v>0</v>
      </c>
      <c r="J158" s="24">
        <f>'FY21 w YOY comp'!K162</f>
        <v>0</v>
      </c>
      <c r="K158" s="1">
        <f>'FY21 w YOY comp'!O162</f>
        <v>0</v>
      </c>
      <c r="L158" s="1">
        <f>'FY21 w YOY comp'!P162</f>
        <v>0</v>
      </c>
      <c r="M158" s="1">
        <f>'FY21 w YOY comp'!Q162</f>
        <v>0</v>
      </c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hidden="1" customHeight="1" x14ac:dyDescent="0.25">
      <c r="A159" s="122" t="str">
        <f>'FY21 w YOY comp'!A163</f>
        <v xml:space="preserve">      Total 5110 Mortgage Payment</v>
      </c>
      <c r="B159" s="178">
        <f>'FY21 w YOY comp'!B163</f>
        <v>91128</v>
      </c>
      <c r="C159" s="178">
        <f>'FY21 w YOY comp'!C163</f>
        <v>91128</v>
      </c>
      <c r="D159" s="178">
        <f>'FY21 w YOY comp'!D163</f>
        <v>83553</v>
      </c>
      <c r="E159" s="178">
        <f>'FY21 w YOY comp'!E163</f>
        <v>19962.72</v>
      </c>
      <c r="F159" s="178">
        <f>'FY21 w YOY comp'!F163</f>
        <v>19962.72</v>
      </c>
      <c r="G159" s="178">
        <f>'FY21 w YOY comp'!G163</f>
        <v>19962.72</v>
      </c>
      <c r="H159" s="178">
        <f>'FY21 w YOY comp'!I163</f>
        <v>19962.72</v>
      </c>
      <c r="I159" s="178">
        <f>'FY21 w YOY comp'!H163</f>
        <v>19962.72</v>
      </c>
      <c r="J159" s="180">
        <f>'FY21 w YOY comp'!K163</f>
        <v>37825</v>
      </c>
      <c r="K159" s="131">
        <f>'FY21 w YOY comp'!O163</f>
        <v>0</v>
      </c>
      <c r="L159" s="131">
        <f>'FY21 w YOY comp'!P163</f>
        <v>0</v>
      </c>
      <c r="M159" s="131">
        <f>'FY21 w YOY comp'!Q163</f>
        <v>0</v>
      </c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  <c r="AA159" s="131"/>
    </row>
    <row r="160" spans="1:27" ht="15.75" hidden="1" customHeight="1" x14ac:dyDescent="0.25">
      <c r="A160" s="122" t="str">
        <f>'FY21 w YOY comp'!A164</f>
        <v xml:space="preserve">      5115 Roof Loan Payment</v>
      </c>
      <c r="B160" s="125">
        <f>'FY21 w YOY comp'!B164</f>
        <v>0</v>
      </c>
      <c r="C160" s="125">
        <f>'FY21 w YOY comp'!C164</f>
        <v>0</v>
      </c>
      <c r="D160" s="125">
        <f>'FY21 w YOY comp'!D164</f>
        <v>0</v>
      </c>
      <c r="E160" s="125">
        <f>'FY21 w YOY comp'!E164</f>
        <v>0</v>
      </c>
      <c r="F160" s="124">
        <f>'FY21 w YOY comp'!F164</f>
        <v>0</v>
      </c>
      <c r="G160" s="125">
        <f>'FY21 w YOY comp'!G164</f>
        <v>0</v>
      </c>
      <c r="H160" s="125">
        <f>'FY21 w YOY comp'!I164</f>
        <v>0</v>
      </c>
      <c r="I160" s="125">
        <f>'FY21 w YOY comp'!H164</f>
        <v>0</v>
      </c>
      <c r="J160" s="127">
        <f>'FY21 w YOY comp'!K164</f>
        <v>6147.04</v>
      </c>
      <c r="K160" s="131" t="str">
        <f>'FY21 w YOY comp'!O164</f>
        <v>$768/month</v>
      </c>
      <c r="L160" s="131">
        <f>'FY21 w YOY comp'!P164</f>
        <v>0</v>
      </c>
      <c r="M160" s="131">
        <f>'FY21 w YOY comp'!Q164</f>
        <v>0</v>
      </c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  <c r="AA160" s="131"/>
    </row>
    <row r="161" spans="1:27" ht="15.75" hidden="1" customHeight="1" x14ac:dyDescent="0.25">
      <c r="A161" s="122" t="str">
        <f>'FY21 w YOY comp'!A165</f>
        <v xml:space="preserve">      5115 Worship Space Rent (deleted)</v>
      </c>
      <c r="B161" s="125">
        <f>'FY21 w YOY comp'!B165</f>
        <v>0</v>
      </c>
      <c r="C161" s="125">
        <f>'FY21 w YOY comp'!C165</f>
        <v>0</v>
      </c>
      <c r="D161" s="125">
        <f>'FY21 w YOY comp'!D165</f>
        <v>0</v>
      </c>
      <c r="E161" s="125">
        <f>'FY21 w YOY comp'!E165</f>
        <v>0</v>
      </c>
      <c r="F161" s="124">
        <f>'FY21 w YOY comp'!F165</f>
        <v>0</v>
      </c>
      <c r="G161" s="125">
        <f>'FY21 w YOY comp'!G165</f>
        <v>0</v>
      </c>
      <c r="H161" s="125">
        <f>'FY21 w YOY comp'!I165</f>
        <v>0</v>
      </c>
      <c r="I161" s="125">
        <f>'FY21 w YOY comp'!H165</f>
        <v>0</v>
      </c>
      <c r="J161" s="240">
        <f>'FY21 w YOY comp'!K165</f>
        <v>0</v>
      </c>
      <c r="K161" s="131">
        <f>'FY21 w YOY comp'!O165</f>
        <v>0</v>
      </c>
      <c r="L161" s="131">
        <f>'FY21 w YOY comp'!P165</f>
        <v>0</v>
      </c>
      <c r="M161" s="131">
        <f>'FY21 w YOY comp'!Q165</f>
        <v>0</v>
      </c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  <c r="AA161" s="131"/>
    </row>
    <row r="162" spans="1:27" ht="15.75" hidden="1" customHeight="1" x14ac:dyDescent="0.25">
      <c r="A162" s="46" t="str">
        <f>'FY21 w YOY comp'!A166</f>
        <v xml:space="preserve">      5120 Other Facility Rent (deleted)</v>
      </c>
      <c r="B162" s="21">
        <f>'FY21 w YOY comp'!B166</f>
        <v>0</v>
      </c>
      <c r="C162" s="21">
        <f>'FY21 w YOY comp'!C166</f>
        <v>0</v>
      </c>
      <c r="D162" s="21">
        <f>'FY21 w YOY comp'!D166</f>
        <v>0</v>
      </c>
      <c r="E162" s="21">
        <f>'FY21 w YOY comp'!E166</f>
        <v>0</v>
      </c>
      <c r="F162" s="22">
        <f>'FY21 w YOY comp'!F166</f>
        <v>0</v>
      </c>
      <c r="G162" s="21">
        <f>'FY21 w YOY comp'!G166</f>
        <v>0</v>
      </c>
      <c r="H162" s="21">
        <f>'FY21 w YOY comp'!I166</f>
        <v>0</v>
      </c>
      <c r="I162" s="21">
        <f>'FY21 w YOY comp'!H166</f>
        <v>0</v>
      </c>
      <c r="J162" s="245">
        <f>'FY21 w YOY comp'!K166</f>
        <v>0</v>
      </c>
      <c r="K162" s="1">
        <f>'FY21 w YOY comp'!O166</f>
        <v>0</v>
      </c>
      <c r="L162" s="1">
        <f>'FY21 w YOY comp'!P166</f>
        <v>0</v>
      </c>
      <c r="M162" s="1">
        <f>'FY21 w YOY comp'!Q166</f>
        <v>0</v>
      </c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hidden="1" customHeight="1" x14ac:dyDescent="0.25">
      <c r="A163" s="46" t="str">
        <f>'FY21 w YOY comp'!A167</f>
        <v xml:space="preserve">         5121 Camp Letts Christmas Eve (deleted)</v>
      </c>
      <c r="B163" s="21">
        <f>'FY21 w YOY comp'!B167</f>
        <v>0</v>
      </c>
      <c r="C163" s="21">
        <f>'FY21 w YOY comp'!C167</f>
        <v>0</v>
      </c>
      <c r="D163" s="21">
        <f>'FY21 w YOY comp'!D167</f>
        <v>0</v>
      </c>
      <c r="E163" s="21">
        <f>'FY21 w YOY comp'!E167</f>
        <v>0</v>
      </c>
      <c r="F163" s="22">
        <f>'FY21 w YOY comp'!F167</f>
        <v>0</v>
      </c>
      <c r="G163" s="21">
        <f>'FY21 w YOY comp'!G167</f>
        <v>0</v>
      </c>
      <c r="H163" s="21">
        <f>'FY21 w YOY comp'!I167</f>
        <v>0</v>
      </c>
      <c r="I163" s="21">
        <f>'FY21 w YOY comp'!H167</f>
        <v>0</v>
      </c>
      <c r="J163" s="245">
        <f>'FY21 w YOY comp'!K167</f>
        <v>0</v>
      </c>
      <c r="K163" s="1">
        <f>'FY21 w YOY comp'!O167</f>
        <v>0</v>
      </c>
      <c r="L163" s="1">
        <f>'FY21 w YOY comp'!P167</f>
        <v>0</v>
      </c>
      <c r="M163" s="1">
        <f>'FY21 w YOY comp'!Q167</f>
        <v>0</v>
      </c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hidden="1" customHeight="1" x14ac:dyDescent="0.25">
      <c r="A164" s="46" t="str">
        <f>'FY21 w YOY comp'!A168</f>
        <v xml:space="preserve">         5122 Lenten Program (deleted)</v>
      </c>
      <c r="B164" s="21">
        <f>'FY21 w YOY comp'!B168</f>
        <v>0</v>
      </c>
      <c r="C164" s="21">
        <f>'FY21 w YOY comp'!C168</f>
        <v>0</v>
      </c>
      <c r="D164" s="21">
        <f>'FY21 w YOY comp'!D168</f>
        <v>0</v>
      </c>
      <c r="E164" s="21">
        <f>'FY21 w YOY comp'!E168</f>
        <v>0</v>
      </c>
      <c r="F164" s="22">
        <f>'FY21 w YOY comp'!F168</f>
        <v>0</v>
      </c>
      <c r="G164" s="21">
        <f>'FY21 w YOY comp'!G168</f>
        <v>0</v>
      </c>
      <c r="H164" s="21">
        <f>'FY21 w YOY comp'!I168</f>
        <v>0</v>
      </c>
      <c r="I164" s="21">
        <f>'FY21 w YOY comp'!H168</f>
        <v>0</v>
      </c>
      <c r="J164" s="245">
        <f>'FY21 w YOY comp'!K168</f>
        <v>0</v>
      </c>
      <c r="K164" s="1">
        <f>'FY21 w YOY comp'!O168</f>
        <v>0</v>
      </c>
      <c r="L164" s="1">
        <f>'FY21 w YOY comp'!P168</f>
        <v>0</v>
      </c>
      <c r="M164" s="1">
        <f>'FY21 w YOY comp'!Q168</f>
        <v>0</v>
      </c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hidden="1" customHeight="1" x14ac:dyDescent="0.25">
      <c r="A165" s="46" t="str">
        <f>'FY21 w YOY comp'!A169</f>
        <v xml:space="preserve">         5123 Misc Small Events (deleted)</v>
      </c>
      <c r="B165" s="21">
        <f>'FY21 w YOY comp'!B169</f>
        <v>0</v>
      </c>
      <c r="C165" s="21">
        <f>'FY21 w YOY comp'!C169</f>
        <v>0</v>
      </c>
      <c r="D165" s="21">
        <f>'FY21 w YOY comp'!D169</f>
        <v>0</v>
      </c>
      <c r="E165" s="21">
        <f>'FY21 w YOY comp'!E169</f>
        <v>0</v>
      </c>
      <c r="F165" s="22">
        <f>'FY21 w YOY comp'!F169</f>
        <v>0</v>
      </c>
      <c r="G165" s="21">
        <f>'FY21 w YOY comp'!G169</f>
        <v>0</v>
      </c>
      <c r="H165" s="21">
        <f>'FY21 w YOY comp'!I169</f>
        <v>0</v>
      </c>
      <c r="I165" s="21">
        <f>'FY21 w YOY comp'!H169</f>
        <v>0</v>
      </c>
      <c r="J165" s="245">
        <f>'FY21 w YOY comp'!K169</f>
        <v>0</v>
      </c>
      <c r="K165" s="1">
        <f>'FY21 w YOY comp'!O169</f>
        <v>0</v>
      </c>
      <c r="L165" s="1">
        <f>'FY21 w YOY comp'!P169</f>
        <v>0</v>
      </c>
      <c r="M165" s="1">
        <f>'FY21 w YOY comp'!Q169</f>
        <v>0</v>
      </c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hidden="1" customHeight="1" x14ac:dyDescent="0.25">
      <c r="A166" s="46" t="str">
        <f>'FY21 w YOY comp'!A170</f>
        <v xml:space="preserve">         5126 Retreat (deleted)</v>
      </c>
      <c r="B166" s="21">
        <f>'FY21 w YOY comp'!B170</f>
        <v>0</v>
      </c>
      <c r="C166" s="47">
        <f>'FY21 w YOY comp'!C170</f>
        <v>950</v>
      </c>
      <c r="D166" s="21">
        <f>'FY21 w YOY comp'!D170</f>
        <v>0</v>
      </c>
      <c r="E166" s="21">
        <f>'FY21 w YOY comp'!E170</f>
        <v>0</v>
      </c>
      <c r="F166" s="22">
        <f>'FY21 w YOY comp'!F170</f>
        <v>0</v>
      </c>
      <c r="G166" s="21">
        <f>'FY21 w YOY comp'!G170</f>
        <v>0</v>
      </c>
      <c r="H166" s="21">
        <f>'FY21 w YOY comp'!I170</f>
        <v>0</v>
      </c>
      <c r="I166" s="21">
        <f>'FY21 w YOY comp'!H170</f>
        <v>0</v>
      </c>
      <c r="J166" s="245">
        <f>'FY21 w YOY comp'!K170</f>
        <v>0</v>
      </c>
      <c r="K166" s="1">
        <f>'FY21 w YOY comp'!O170</f>
        <v>0</v>
      </c>
      <c r="L166" s="1">
        <f>'FY21 w YOY comp'!P170</f>
        <v>0</v>
      </c>
      <c r="M166" s="1">
        <f>'FY21 w YOY comp'!Q170</f>
        <v>0</v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hidden="1" customHeight="1" x14ac:dyDescent="0.25">
      <c r="A167" s="46" t="str">
        <f>'FY21 w YOY comp'!A171</f>
        <v xml:space="preserve">         5127 VBS (deleted)</v>
      </c>
      <c r="B167" s="21">
        <f>'FY21 w YOY comp'!B171</f>
        <v>0</v>
      </c>
      <c r="C167" s="21">
        <f>'FY21 w YOY comp'!C171</f>
        <v>0</v>
      </c>
      <c r="D167" s="21">
        <f>'FY21 w YOY comp'!D171</f>
        <v>0</v>
      </c>
      <c r="E167" s="21">
        <f>'FY21 w YOY comp'!E171</f>
        <v>0</v>
      </c>
      <c r="F167" s="22">
        <f>'FY21 w YOY comp'!F171</f>
        <v>0</v>
      </c>
      <c r="G167" s="21">
        <f>'FY21 w YOY comp'!G171</f>
        <v>0</v>
      </c>
      <c r="H167" s="21">
        <f>'FY21 w YOY comp'!I171</f>
        <v>0</v>
      </c>
      <c r="I167" s="21">
        <f>'FY21 w YOY comp'!H171</f>
        <v>0</v>
      </c>
      <c r="J167" s="245">
        <f>'FY21 w YOY comp'!K171</f>
        <v>0</v>
      </c>
      <c r="K167" s="1">
        <f>'FY21 w YOY comp'!O171</f>
        <v>0</v>
      </c>
      <c r="L167" s="1">
        <f>'FY21 w YOY comp'!P171</f>
        <v>0</v>
      </c>
      <c r="M167" s="1">
        <f>'FY21 w YOY comp'!Q171</f>
        <v>0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hidden="1" customHeight="1" x14ac:dyDescent="0.25">
      <c r="A168" s="122" t="str">
        <f>'FY21 w YOY comp'!A172</f>
        <v xml:space="preserve">      Total 5120 Other Facility Rent (deleted)</v>
      </c>
      <c r="B168" s="178">
        <f>'FY21 w YOY comp'!B172</f>
        <v>0</v>
      </c>
      <c r="C168" s="178">
        <f>'FY21 w YOY comp'!C172</f>
        <v>950</v>
      </c>
      <c r="D168" s="178">
        <f>'FY21 w YOY comp'!D172</f>
        <v>0</v>
      </c>
      <c r="E168" s="178">
        <f>'FY21 w YOY comp'!E172</f>
        <v>0</v>
      </c>
      <c r="F168" s="178">
        <f>'FY21 w YOY comp'!F172</f>
        <v>0</v>
      </c>
      <c r="G168" s="178">
        <f>'FY21 w YOY comp'!G172</f>
        <v>0</v>
      </c>
      <c r="H168" s="178">
        <f>'FY21 w YOY comp'!I172</f>
        <v>0</v>
      </c>
      <c r="I168" s="178">
        <f>'FY21 w YOY comp'!H172</f>
        <v>0</v>
      </c>
      <c r="J168" s="180">
        <f>'FY21 w YOY comp'!K172</f>
        <v>0</v>
      </c>
      <c r="K168" s="131">
        <f>'FY21 w YOY comp'!O172</f>
        <v>0</v>
      </c>
      <c r="L168" s="131">
        <f>'FY21 w YOY comp'!P172</f>
        <v>0</v>
      </c>
      <c r="M168" s="131">
        <f>'FY21 w YOY comp'!Q172</f>
        <v>0</v>
      </c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  <c r="AA168" s="131"/>
    </row>
    <row r="169" spans="1:27" ht="15.75" hidden="1" customHeight="1" x14ac:dyDescent="0.25">
      <c r="A169" s="122" t="str">
        <f>'FY21 w YOY comp'!A173</f>
        <v xml:space="preserve">      5125 Custodial Contractual Worker</v>
      </c>
      <c r="B169" s="123">
        <f>'FY21 w YOY comp'!B173</f>
        <v>52.25</v>
      </c>
      <c r="C169" s="123">
        <f>'FY21 w YOY comp'!C173</f>
        <v>389.5</v>
      </c>
      <c r="D169" s="123">
        <f>'FY21 w YOY comp'!D173</f>
        <v>123.75</v>
      </c>
      <c r="E169" s="123">
        <f>'FY21 w YOY comp'!E173</f>
        <v>721.45</v>
      </c>
      <c r="F169" s="123">
        <f>'FY21 w YOY comp'!F173</f>
        <v>611.45000000000005</v>
      </c>
      <c r="G169" s="123">
        <f>'FY21 w YOY comp'!G173</f>
        <v>435</v>
      </c>
      <c r="H169" s="124">
        <f>'FY21 w YOY comp'!I173</f>
        <v>0</v>
      </c>
      <c r="I169" s="124">
        <f>'FY21 w YOY comp'!H173</f>
        <v>435</v>
      </c>
      <c r="J169" s="127">
        <f>'FY21 w YOY comp'!K173</f>
        <v>0</v>
      </c>
      <c r="K169" s="131">
        <f>'FY21 w YOY comp'!O173</f>
        <v>0</v>
      </c>
      <c r="L169" s="131">
        <f>'FY21 w YOY comp'!P173</f>
        <v>0</v>
      </c>
      <c r="M169" s="131">
        <f>'FY21 w YOY comp'!Q173</f>
        <v>0</v>
      </c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  <c r="AA169" s="131"/>
    </row>
    <row r="170" spans="1:27" ht="15.75" hidden="1" customHeight="1" x14ac:dyDescent="0.25">
      <c r="A170" s="122" t="str">
        <f>'FY21 w YOY comp'!A174</f>
        <v xml:space="preserve">      5130 Custodial Supplies</v>
      </c>
      <c r="B170" s="123">
        <f>'FY21 w YOY comp'!B174</f>
        <v>594.87</v>
      </c>
      <c r="C170" s="123">
        <f>'FY21 w YOY comp'!C174</f>
        <v>856.75</v>
      </c>
      <c r="D170" s="123">
        <f>'FY21 w YOY comp'!D174</f>
        <v>1124.0899999999999</v>
      </c>
      <c r="E170" s="123">
        <f>'FY21 w YOY comp'!E174</f>
        <v>772.19</v>
      </c>
      <c r="F170" s="123">
        <f>'FY21 w YOY comp'!F174</f>
        <v>793.74</v>
      </c>
      <c r="G170" s="123">
        <f>'FY21 w YOY comp'!G174</f>
        <v>460.24</v>
      </c>
      <c r="H170" s="124">
        <f>'FY21 w YOY comp'!I174</f>
        <v>750</v>
      </c>
      <c r="I170" s="124">
        <f>'FY21 w YOY comp'!H174</f>
        <v>460.24</v>
      </c>
      <c r="J170" s="127">
        <f>'FY21 w YOY comp'!K174</f>
        <v>1000</v>
      </c>
      <c r="K170" s="131" t="str">
        <f>'FY21 w YOY comp'!O174</f>
        <v>Increase somewhat for expected full year of in person?</v>
      </c>
      <c r="L170" s="131">
        <f>'FY21 w YOY comp'!P174</f>
        <v>0</v>
      </c>
      <c r="M170" s="131">
        <f>'FY21 w YOY comp'!Q174</f>
        <v>0</v>
      </c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  <c r="AA170" s="131"/>
    </row>
    <row r="171" spans="1:27" ht="15.75" hidden="1" customHeight="1" x14ac:dyDescent="0.25">
      <c r="A171" s="46" t="str">
        <f>'FY21 w YOY comp'!A175</f>
        <v xml:space="preserve">      5135 Repairs &amp; Maintenance</v>
      </c>
      <c r="B171" s="47">
        <f>'FY21 w YOY comp'!B175</f>
        <v>58.3</v>
      </c>
      <c r="C171" s="21">
        <f>'FY21 w YOY comp'!C175</f>
        <v>0</v>
      </c>
      <c r="D171" s="47">
        <f>'FY21 w YOY comp'!D175</f>
        <v>117.5</v>
      </c>
      <c r="E171" s="21">
        <f>'FY21 w YOY comp'!E175</f>
        <v>0</v>
      </c>
      <c r="F171" s="22">
        <f>'FY21 w YOY comp'!F175</f>
        <v>0</v>
      </c>
      <c r="G171" s="21">
        <f>'FY21 w YOY comp'!G175</f>
        <v>0</v>
      </c>
      <c r="H171" s="22">
        <f>'FY21 w YOY comp'!I175</f>
        <v>0</v>
      </c>
      <c r="I171" s="22">
        <f>'FY21 w YOY comp'!H175</f>
        <v>0</v>
      </c>
      <c r="J171" s="24">
        <f>'FY21 w YOY comp'!K175</f>
        <v>0</v>
      </c>
      <c r="K171" s="1">
        <f>'FY21 w YOY comp'!O175</f>
        <v>0</v>
      </c>
      <c r="L171" s="1">
        <f>'FY21 w YOY comp'!P175</f>
        <v>0</v>
      </c>
      <c r="M171" s="1">
        <f>'FY21 w YOY comp'!Q175</f>
        <v>0</v>
      </c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hidden="1" customHeight="1" x14ac:dyDescent="0.25">
      <c r="A172" s="46" t="str">
        <f>'FY21 w YOY comp'!A176</f>
        <v xml:space="preserve">         5136 Church</v>
      </c>
      <c r="B172" s="47">
        <f>'FY21 w YOY comp'!B176</f>
        <v>1746</v>
      </c>
      <c r="C172" s="47">
        <f>'FY21 w YOY comp'!C176</f>
        <v>3168</v>
      </c>
      <c r="D172" s="47">
        <f>'FY21 w YOY comp'!D176</f>
        <v>880</v>
      </c>
      <c r="E172" s="47">
        <f>'FY21 w YOY comp'!E176</f>
        <v>4347.49</v>
      </c>
      <c r="F172" s="47">
        <f>'FY21 w YOY comp'!F176</f>
        <v>6888.49</v>
      </c>
      <c r="G172" s="47">
        <f>'FY21 w YOY comp'!G176</f>
        <v>3386.33</v>
      </c>
      <c r="H172" s="22">
        <f>'FY21 w YOY comp'!I176</f>
        <v>2470</v>
      </c>
      <c r="I172" s="22">
        <f>'FY21 w YOY comp'!H176</f>
        <v>3386.33</v>
      </c>
      <c r="J172" s="24">
        <f>'FY21 w YOY comp'!K176</f>
        <v>7000</v>
      </c>
      <c r="K172" s="1" t="str">
        <f>'FY21 w YOY comp'!O176</f>
        <v>$15K for parking lot resurface</v>
      </c>
      <c r="L172" s="1">
        <f>'FY21 w YOY comp'!P176</f>
        <v>0</v>
      </c>
      <c r="M172" s="1">
        <f>'FY21 w YOY comp'!Q176</f>
        <v>0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hidden="1" customHeight="1" x14ac:dyDescent="0.25">
      <c r="A173" s="46" t="str">
        <f>'FY21 w YOY comp'!A177</f>
        <v xml:space="preserve">         5137 Parsonage</v>
      </c>
      <c r="B173" s="47">
        <f>'FY21 w YOY comp'!B177</f>
        <v>254.56</v>
      </c>
      <c r="C173" s="47">
        <f>'FY21 w YOY comp'!C177</f>
        <v>224.57</v>
      </c>
      <c r="D173" s="47">
        <f>'FY21 w YOY comp'!D177</f>
        <v>920.53</v>
      </c>
      <c r="E173" s="47">
        <f>'FY21 w YOY comp'!E177</f>
        <v>597.15</v>
      </c>
      <c r="F173" s="47">
        <f>'FY21 w YOY comp'!F177</f>
        <v>684.6</v>
      </c>
      <c r="G173" s="47">
        <f>'FY21 w YOY comp'!G177</f>
        <v>1404.46</v>
      </c>
      <c r="H173" s="22">
        <f>'FY21 w YOY comp'!I177</f>
        <v>1889.74</v>
      </c>
      <c r="I173" s="22">
        <f>'FY21 w YOY comp'!H177</f>
        <v>1404.46</v>
      </c>
      <c r="J173" s="24">
        <f>'FY21 w YOY comp'!K177</f>
        <v>2000</v>
      </c>
      <c r="K173" s="1">
        <f>'FY21 w YOY comp'!O177</f>
        <v>0</v>
      </c>
      <c r="L173" s="1">
        <f>'FY21 w YOY comp'!P177</f>
        <v>0</v>
      </c>
      <c r="M173" s="1">
        <f>'FY21 w YOY comp'!Q177</f>
        <v>0</v>
      </c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hidden="1" customHeight="1" x14ac:dyDescent="0.25">
      <c r="A174" s="46" t="str">
        <f>'FY21 w YOY comp'!A178</f>
        <v xml:space="preserve">         5138 Supplies &amp; Materials</v>
      </c>
      <c r="B174" s="21">
        <f>'FY21 w YOY comp'!B178</f>
        <v>0</v>
      </c>
      <c r="C174" s="21">
        <f>'FY21 w YOY comp'!C178</f>
        <v>0</v>
      </c>
      <c r="D174" s="21">
        <f>'FY21 w YOY comp'!D178</f>
        <v>0</v>
      </c>
      <c r="E174" s="21">
        <f>'FY21 w YOY comp'!E178</f>
        <v>0</v>
      </c>
      <c r="F174" s="47">
        <f>'FY21 w YOY comp'!F178</f>
        <v>146.13</v>
      </c>
      <c r="G174" s="47">
        <f>'FY21 w YOY comp'!G178</f>
        <v>146.13</v>
      </c>
      <c r="H174" s="22">
        <f>'FY21 w YOY comp'!I178</f>
        <v>1000</v>
      </c>
      <c r="I174" s="22">
        <f>'FY21 w YOY comp'!H178</f>
        <v>146.13</v>
      </c>
      <c r="J174" s="24">
        <f>'FY21 w YOY comp'!K178</f>
        <v>1000</v>
      </c>
      <c r="K174" s="1" t="str">
        <f>'FY21 w YOY comp'!O178</f>
        <v>What is this intended for?</v>
      </c>
      <c r="L174" s="1">
        <f>'FY21 w YOY comp'!P178</f>
        <v>0</v>
      </c>
      <c r="M174" s="1">
        <f>'FY21 w YOY comp'!Q178</f>
        <v>0</v>
      </c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hidden="1" customHeight="1" x14ac:dyDescent="0.25">
      <c r="A175" s="122" t="str">
        <f>'FY21 w YOY comp'!A179</f>
        <v xml:space="preserve">      Total 5135 Repairs &amp; Maintenance</v>
      </c>
      <c r="B175" s="178">
        <f>'FY21 w YOY comp'!B179</f>
        <v>2058.86</v>
      </c>
      <c r="C175" s="178">
        <f>'FY21 w YOY comp'!C179</f>
        <v>3392.57</v>
      </c>
      <c r="D175" s="178">
        <f>'FY21 w YOY comp'!D179</f>
        <v>1918.03</v>
      </c>
      <c r="E175" s="178">
        <f>'FY21 w YOY comp'!E179</f>
        <v>4944.6399999999994</v>
      </c>
      <c r="F175" s="178">
        <f>'FY21 w YOY comp'!F179</f>
        <v>7719.22</v>
      </c>
      <c r="G175" s="178">
        <f>'FY21 w YOY comp'!G179</f>
        <v>4936.92</v>
      </c>
      <c r="H175" s="178">
        <f>'FY21 w YOY comp'!I179</f>
        <v>5359.74</v>
      </c>
      <c r="I175" s="178">
        <f>'FY21 w YOY comp'!H179</f>
        <v>4936.92</v>
      </c>
      <c r="J175" s="180">
        <f>'FY21 w YOY comp'!K179</f>
        <v>10000</v>
      </c>
      <c r="K175" s="131">
        <f>'FY21 w YOY comp'!O179</f>
        <v>0</v>
      </c>
      <c r="L175" s="131">
        <f>'FY21 w YOY comp'!P179</f>
        <v>0</v>
      </c>
      <c r="M175" s="131">
        <f>'FY21 w YOY comp'!Q179</f>
        <v>0</v>
      </c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</row>
    <row r="176" spans="1:27" ht="15.75" hidden="1" customHeight="1" x14ac:dyDescent="0.25">
      <c r="A176" s="122" t="str">
        <f>'FY21 w YOY comp'!A180</f>
        <v xml:space="preserve">      5140 Thrift Shop Maintenance &amp; Upgrades</v>
      </c>
      <c r="B176" s="123">
        <f>'FY21 w YOY comp'!B180</f>
        <v>439.17</v>
      </c>
      <c r="C176" s="125">
        <f>'FY21 w YOY comp'!C180</f>
        <v>0</v>
      </c>
      <c r="D176" s="123">
        <f>'FY21 w YOY comp'!D180</f>
        <v>639.04999999999995</v>
      </c>
      <c r="E176" s="123">
        <f>'FY21 w YOY comp'!E180</f>
        <v>694.59</v>
      </c>
      <c r="F176" s="123">
        <f>'FY21 w YOY comp'!F180</f>
        <v>815.33</v>
      </c>
      <c r="G176" s="123">
        <f>'FY21 w YOY comp'!G180</f>
        <v>1204</v>
      </c>
      <c r="H176" s="124">
        <f>'FY21 w YOY comp'!I180</f>
        <v>0</v>
      </c>
      <c r="I176" s="124">
        <f>'FY21 w YOY comp'!H180</f>
        <v>1204</v>
      </c>
      <c r="J176" s="127">
        <f>'FY21 w YOY comp'!K180</f>
        <v>1000</v>
      </c>
      <c r="K176" s="131" t="str">
        <f>'FY21 w YOY comp'!O180</f>
        <v>partial allocation of cleaning carpets, etc., electrical work</v>
      </c>
      <c r="L176" s="131">
        <f>'FY21 w YOY comp'!P180</f>
        <v>0</v>
      </c>
      <c r="M176" s="131">
        <f>'FY21 w YOY comp'!Q180</f>
        <v>0</v>
      </c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  <c r="AA176" s="131"/>
    </row>
    <row r="177" spans="1:27" ht="15.75" hidden="1" customHeight="1" x14ac:dyDescent="0.25">
      <c r="A177" s="122" t="str">
        <f>'FY21 w YOY comp'!A181</f>
        <v xml:space="preserve">      5145 Internet, Phones &amp; TV</v>
      </c>
      <c r="B177" s="123">
        <f>'FY21 w YOY comp'!B181</f>
        <v>1707.6</v>
      </c>
      <c r="C177" s="123">
        <f>'FY21 w YOY comp'!C181</f>
        <v>1656.84</v>
      </c>
      <c r="D177" s="123">
        <f>'FY21 w YOY comp'!D181</f>
        <v>1929.25</v>
      </c>
      <c r="E177" s="123">
        <f>'FY21 w YOY comp'!E181</f>
        <v>3768.81</v>
      </c>
      <c r="F177" s="123">
        <f>'FY21 w YOY comp'!F181</f>
        <v>4180.82</v>
      </c>
      <c r="G177" s="123">
        <f>'FY21 w YOY comp'!G181</f>
        <v>3412.63</v>
      </c>
      <c r="H177" s="124">
        <f>'FY21 w YOY comp'!I181</f>
        <v>3500</v>
      </c>
      <c r="I177" s="124">
        <f>'FY21 w YOY comp'!H181</f>
        <v>3412.63</v>
      </c>
      <c r="J177" s="127">
        <f>'FY21 w YOY comp'!K181</f>
        <v>3120</v>
      </c>
      <c r="K177" s="131" t="str">
        <f>'FY21 w YOY comp'!O181</f>
        <v>hall~ $159/month, thrift shop ~108/month; parsonage ~ $104/month on RH budget</v>
      </c>
      <c r="L177" s="131">
        <f>'FY21 w YOY comp'!P181</f>
        <v>0</v>
      </c>
      <c r="M177" s="131">
        <f>'FY21 w YOY comp'!Q181</f>
        <v>0</v>
      </c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  <c r="AA177" s="131"/>
    </row>
    <row r="178" spans="1:27" ht="15.75" hidden="1" customHeight="1" x14ac:dyDescent="0.25">
      <c r="A178" s="46" t="str">
        <f>'FY21 w YOY comp'!A185</f>
        <v xml:space="preserve">      5150 Electric &amp; Fuel Oil</v>
      </c>
      <c r="B178" s="21">
        <f>'FY21 w YOY comp'!B185</f>
        <v>0</v>
      </c>
      <c r="C178" s="21">
        <f>'FY21 w YOY comp'!C185</f>
        <v>0</v>
      </c>
      <c r="D178" s="21">
        <f>'FY21 w YOY comp'!D185</f>
        <v>0</v>
      </c>
      <c r="E178" s="21">
        <f>'FY21 w YOY comp'!E185</f>
        <v>0</v>
      </c>
      <c r="F178" s="22">
        <f>'FY21 w YOY comp'!F185</f>
        <v>0</v>
      </c>
      <c r="G178" s="21">
        <f>'FY21 w YOY comp'!G185</f>
        <v>0</v>
      </c>
      <c r="H178" s="55">
        <f>'FY21 w YOY comp'!I185</f>
        <v>0</v>
      </c>
      <c r="I178" s="22">
        <f>'FY21 w YOY comp'!H185</f>
        <v>0</v>
      </c>
      <c r="J178" s="73">
        <f>'FY21 w YOY comp'!K185</f>
        <v>0</v>
      </c>
      <c r="K178" s="1">
        <f>'FY21 w YOY comp'!O185</f>
        <v>0</v>
      </c>
      <c r="L178" s="1">
        <f>'FY21 w YOY comp'!P185</f>
        <v>0</v>
      </c>
      <c r="M178" s="1">
        <f>'FY21 w YOY comp'!Q185</f>
        <v>0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hidden="1" customHeight="1" x14ac:dyDescent="0.25">
      <c r="A179" s="46" t="str">
        <f>'FY21 w YOY comp'!A186</f>
        <v xml:space="preserve">         5151 Church Utilities</v>
      </c>
      <c r="B179" s="47">
        <f>'FY21 w YOY comp'!B186</f>
        <v>12377.55</v>
      </c>
      <c r="C179" s="47">
        <f>'FY21 w YOY comp'!C186</f>
        <v>12476.3</v>
      </c>
      <c r="D179" s="47">
        <f>'FY21 w YOY comp'!D186</f>
        <v>11831.65</v>
      </c>
      <c r="E179" s="47">
        <f>'FY21 w YOY comp'!E186</f>
        <v>10586.42</v>
      </c>
      <c r="F179" s="47">
        <f>'FY21 w YOY comp'!F186</f>
        <v>7782.47</v>
      </c>
      <c r="G179" s="47">
        <f>'FY21 w YOY comp'!G186</f>
        <v>6876.11</v>
      </c>
      <c r="H179" s="22">
        <f>'FY21 w YOY comp'!I186</f>
        <v>0</v>
      </c>
      <c r="I179" s="22">
        <f>'FY21 w YOY comp'!H186</f>
        <v>6876.11</v>
      </c>
      <c r="J179" s="24">
        <f>'FY21 w YOY comp'!K186</f>
        <v>8000</v>
      </c>
      <c r="K179" s="1" t="str">
        <f>'FY21 w YOY comp'!O186</f>
        <v>average ~ $703/month electric and $1751 to date fuel oil = $10,187/year. Keep in mind prices are anticipated to rise; how to account for split costs between church and RH</v>
      </c>
      <c r="L179" s="1">
        <f>'FY21 w YOY comp'!P186</f>
        <v>0</v>
      </c>
      <c r="M179" s="1">
        <f>'FY21 w YOY comp'!Q186</f>
        <v>0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hidden="1" customHeight="1" x14ac:dyDescent="0.25">
      <c r="A180" s="46" t="str">
        <f>'FY21 w YOY comp'!A187</f>
        <v xml:space="preserve">         5152 Parsonage Utilities</v>
      </c>
      <c r="B180" s="47">
        <f>'FY21 w YOY comp'!B187</f>
        <v>3060.21</v>
      </c>
      <c r="C180" s="47">
        <f>'FY21 w YOY comp'!C187</f>
        <v>2985.22</v>
      </c>
      <c r="D180" s="47">
        <f>'FY21 w YOY comp'!D187</f>
        <v>4021.08</v>
      </c>
      <c r="E180" s="47">
        <f>'FY21 w YOY comp'!E187</f>
        <v>4376.91</v>
      </c>
      <c r="F180" s="47">
        <f>'FY21 w YOY comp'!F187</f>
        <v>3097.28</v>
      </c>
      <c r="G180" s="47">
        <f>'FY21 w YOY comp'!G187</f>
        <v>2679.23</v>
      </c>
      <c r="H180" s="22">
        <f>'FY21 w YOY comp'!I187</f>
        <v>0</v>
      </c>
      <c r="I180" s="22">
        <f>'FY21 w YOY comp'!H187</f>
        <v>2679.23</v>
      </c>
      <c r="J180" s="24">
        <f>'FY21 w YOY comp'!K187</f>
        <v>1500</v>
      </c>
      <c r="K180" s="1" t="str">
        <f>'FY21 w YOY comp'!O192</f>
        <v>sewer costs up:  $266.67./month  Need to find out from Mary if/how often the UV filters need to be replaced, and cost for that.  It was not listed on the initial installation invoice.</v>
      </c>
      <c r="L180" s="1">
        <f>'FY21 w YOY comp'!P187</f>
        <v>0</v>
      </c>
      <c r="M180" s="1">
        <f>'FY21 w YOY comp'!Q187</f>
        <v>0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hidden="1" customHeight="1" x14ac:dyDescent="0.25">
      <c r="A181" s="46" t="str">
        <f>'FY21 w YOY comp'!A188</f>
        <v xml:space="preserve">         5153 Trailer 1R Utilities</v>
      </c>
      <c r="B181" s="47">
        <f>'FY21 w YOY comp'!B188</f>
        <v>598.67999999999995</v>
      </c>
      <c r="C181" s="47">
        <f>'FY21 w YOY comp'!C188</f>
        <v>711.2</v>
      </c>
      <c r="D181" s="47">
        <f>'FY21 w YOY comp'!D188</f>
        <v>977.14</v>
      </c>
      <c r="E181" s="47">
        <f>'FY21 w YOY comp'!E188</f>
        <v>1454.88</v>
      </c>
      <c r="F181" s="47">
        <f>'FY21 w YOY comp'!F188</f>
        <v>1411.46</v>
      </c>
      <c r="G181" s="47">
        <f>'FY21 w YOY comp'!G188</f>
        <v>1210</v>
      </c>
      <c r="H181" s="55">
        <f>'FY21 w YOY comp'!I188</f>
        <v>0</v>
      </c>
      <c r="I181" s="22">
        <f>'FY21 w YOY comp'!H188</f>
        <v>1210</v>
      </c>
      <c r="J181" s="73">
        <f>'FY21 w YOY comp'!K188</f>
        <v>0</v>
      </c>
      <c r="K181" s="282" t="str">
        <f>'FY21 w YOY comp'!O188</f>
        <v>RETIRE LINE ITEM</v>
      </c>
      <c r="L181" s="1">
        <f>'FY21 w YOY comp'!P188</f>
        <v>0</v>
      </c>
      <c r="M181" s="1">
        <f>'FY21 w YOY comp'!Q188</f>
        <v>0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hidden="1" customHeight="1" x14ac:dyDescent="0.25">
      <c r="A182" s="46" t="str">
        <f>'FY21 w YOY comp'!A189</f>
        <v xml:space="preserve">         5154 Trailer R Utilities</v>
      </c>
      <c r="B182" s="47">
        <f>'FY21 w YOY comp'!B189</f>
        <v>704.72</v>
      </c>
      <c r="C182" s="47">
        <f>'FY21 w YOY comp'!C189</f>
        <v>939.08</v>
      </c>
      <c r="D182" s="47">
        <f>'FY21 w YOY comp'!D189</f>
        <v>1170.3599999999999</v>
      </c>
      <c r="E182" s="47">
        <f>'FY21 w YOY comp'!E189</f>
        <v>1494.9</v>
      </c>
      <c r="F182" s="47">
        <f>'FY21 w YOY comp'!F189</f>
        <v>1268.6500000000001</v>
      </c>
      <c r="G182" s="47">
        <f>'FY21 w YOY comp'!G189</f>
        <v>726.28</v>
      </c>
      <c r="H182" s="55">
        <f>'FY21 w YOY comp'!I189</f>
        <v>0</v>
      </c>
      <c r="I182" s="22">
        <f>'FY21 w YOY comp'!H189</f>
        <v>726.28</v>
      </c>
      <c r="J182" s="73">
        <f>'FY21 w YOY comp'!K189</f>
        <v>0</v>
      </c>
      <c r="K182" s="282" t="str">
        <f>'FY21 w YOY comp'!O189</f>
        <v>RETIRE LINE ITEM</v>
      </c>
      <c r="L182" s="1">
        <f>'FY21 w YOY comp'!P189</f>
        <v>0</v>
      </c>
      <c r="M182" s="1">
        <f>'FY21 w YOY comp'!Q189</f>
        <v>0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hidden="1" customHeight="1" x14ac:dyDescent="0.25">
      <c r="A183" s="122" t="str">
        <f>'FY21 w YOY comp'!A190</f>
        <v xml:space="preserve">      Total 5150 Electric &amp; Fuel Oil</v>
      </c>
      <c r="B183" s="178">
        <f>'FY21 w YOY comp'!B190</f>
        <v>16741.16</v>
      </c>
      <c r="C183" s="178">
        <f>'FY21 w YOY comp'!C190</f>
        <v>17111.8</v>
      </c>
      <c r="D183" s="178">
        <f>'FY21 w YOY comp'!D190</f>
        <v>18000.23</v>
      </c>
      <c r="E183" s="178">
        <f>'FY21 w YOY comp'!E190</f>
        <v>17913.11</v>
      </c>
      <c r="F183" s="178">
        <f>'FY21 w YOY comp'!F190</f>
        <v>13559.859999999999</v>
      </c>
      <c r="G183" s="178">
        <f>'FY21 w YOY comp'!G190</f>
        <v>11491.62</v>
      </c>
      <c r="H183" s="178">
        <f>'FY21 w YOY comp'!I190</f>
        <v>14810</v>
      </c>
      <c r="I183" s="178">
        <f>'FY21 w YOY comp'!H190</f>
        <v>11491.62</v>
      </c>
      <c r="J183" s="180">
        <f>'FY21 w YOY comp'!K190</f>
        <v>9500</v>
      </c>
      <c r="K183" s="131">
        <f>'FY21 w YOY comp'!O190</f>
        <v>0</v>
      </c>
      <c r="L183" s="131">
        <f>'FY21 w YOY comp'!P190</f>
        <v>0</v>
      </c>
      <c r="M183" s="131">
        <f>'FY21 w YOY comp'!Q190</f>
        <v>0</v>
      </c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  <c r="AA183" s="131"/>
    </row>
    <row r="184" spans="1:27" ht="15.75" hidden="1" customHeight="1" x14ac:dyDescent="0.25">
      <c r="A184" s="122" t="str">
        <f>'FY21 w YOY comp'!A191</f>
        <v xml:space="preserve">      5155 Water Testing &amp; Sewer</v>
      </c>
      <c r="B184" s="123">
        <f>'FY21 w YOY comp'!B191</f>
        <v>890.4</v>
      </c>
      <c r="C184" s="123">
        <f>'FY21 w YOY comp'!C191</f>
        <v>890.4</v>
      </c>
      <c r="D184" s="123">
        <f>'FY21 w YOY comp'!D191</f>
        <v>890.4</v>
      </c>
      <c r="E184" s="123">
        <f>'FY21 w YOY comp'!E191</f>
        <v>1086.06</v>
      </c>
      <c r="F184" s="123">
        <f>'FY21 w YOY comp'!F191</f>
        <v>1738.72</v>
      </c>
      <c r="G184" s="123">
        <f>'FY21 w YOY comp'!G191</f>
        <v>2079.6799999999998</v>
      </c>
      <c r="H184" s="124">
        <f>'FY21 w YOY comp'!I191</f>
        <v>1100</v>
      </c>
      <c r="I184" s="124">
        <f>'FY21 w YOY comp'!H191</f>
        <v>2079.6799999999998</v>
      </c>
      <c r="J184" s="127">
        <f>'FY21 w YOY comp'!K191</f>
        <v>1619.6399999999999</v>
      </c>
      <c r="K184" s="131" t="str">
        <f>'FY21 w YOY comp'!O191</f>
        <v>Quarterly sewer bills at $213.91 each, and assumes only regular quarterly testing at around $66 each; UV light at $50 and three filters throughout the year for chlorination system @$150 each. Is this different than filters in 5152?</v>
      </c>
      <c r="L184" s="131">
        <f>'FY21 w YOY comp'!P191</f>
        <v>0</v>
      </c>
      <c r="M184" s="131">
        <f>'FY21 w YOY comp'!Q191</f>
        <v>0</v>
      </c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  <c r="AA184" s="131"/>
    </row>
    <row r="185" spans="1:27" ht="15.75" hidden="1" customHeight="1" x14ac:dyDescent="0.25">
      <c r="A185" s="46" t="str">
        <f>'FY21 w YOY comp'!A192</f>
        <v xml:space="preserve">      5165 Grounds Maintenance</v>
      </c>
      <c r="B185" s="21">
        <f>'FY21 w YOY comp'!B192</f>
        <v>0</v>
      </c>
      <c r="C185" s="21">
        <f>'FY21 w YOY comp'!C192</f>
        <v>0</v>
      </c>
      <c r="D185" s="21">
        <f>'FY21 w YOY comp'!D192</f>
        <v>0</v>
      </c>
      <c r="E185" s="21">
        <f>'FY21 w YOY comp'!E192</f>
        <v>0</v>
      </c>
      <c r="F185" s="22">
        <f>'FY21 w YOY comp'!F192</f>
        <v>0</v>
      </c>
      <c r="G185" s="21">
        <f>'FY21 w YOY comp'!G192</f>
        <v>0</v>
      </c>
      <c r="H185" s="267">
        <f>'FY21 w YOY comp'!I192</f>
        <v>0</v>
      </c>
      <c r="I185" s="267">
        <f>'FY21 w YOY comp'!H192</f>
        <v>0</v>
      </c>
      <c r="J185" s="269">
        <f>'FY21 w YOY comp'!K192</f>
        <v>0</v>
      </c>
      <c r="K185" s="1" t="e">
        <f>#REF!</f>
        <v>#REF!</v>
      </c>
      <c r="L185" s="1">
        <f>'FY21 w YOY comp'!P192</f>
        <v>0</v>
      </c>
      <c r="M185" s="1">
        <f>'FY21 w YOY comp'!Q192</f>
        <v>0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hidden="1" customHeight="1" x14ac:dyDescent="0.25">
      <c r="A186" s="46" t="str">
        <f>'FY21 w YOY comp'!A193</f>
        <v xml:space="preserve">         5166 Grounds Upkeep</v>
      </c>
      <c r="B186" s="47">
        <f>'FY21 w YOY comp'!B193</f>
        <v>5245</v>
      </c>
      <c r="C186" s="47">
        <f>'FY21 w YOY comp'!C193</f>
        <v>3210</v>
      </c>
      <c r="D186" s="47">
        <f>'FY21 w YOY comp'!D193</f>
        <v>3140</v>
      </c>
      <c r="E186" s="47">
        <f>'FY21 w YOY comp'!E193</f>
        <v>3984</v>
      </c>
      <c r="F186" s="47">
        <f>'FY21 w YOY comp'!F193</f>
        <v>4280.34</v>
      </c>
      <c r="G186" s="47">
        <f>'FY21 w YOY comp'!G193</f>
        <v>4940.34</v>
      </c>
      <c r="H186" s="22">
        <f>'FY21 w YOY comp'!I193</f>
        <v>3960</v>
      </c>
      <c r="I186" s="22">
        <f>'FY21 w YOY comp'!H193</f>
        <v>4940.34</v>
      </c>
      <c r="J186" s="24">
        <f>'FY21 w YOY comp'!K193</f>
        <v>5500</v>
      </c>
      <c r="K186" s="1" t="str">
        <f>'FY21 w YOY comp'!O193</f>
        <v>$195/cut; figure April - Oct??  and insect treatment at $139/treatment; Is insect treatment done only for VBS? Separate line item for insect treatment?</v>
      </c>
      <c r="L186" s="1">
        <f>'FY21 w YOY comp'!P193</f>
        <v>0</v>
      </c>
      <c r="M186" s="1">
        <f>'FY21 w YOY comp'!Q193</f>
        <v>0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hidden="1" customHeight="1" x14ac:dyDescent="0.25">
      <c r="A187" s="46" t="str">
        <f>'FY21 w YOY comp'!A194</f>
        <v xml:space="preserve">         5167 Snow &amp; Ice Mitigation</v>
      </c>
      <c r="B187" s="47">
        <f>'FY21 w YOY comp'!B194</f>
        <v>852</v>
      </c>
      <c r="C187" s="47">
        <f>'FY21 w YOY comp'!C194</f>
        <v>253</v>
      </c>
      <c r="D187" s="47">
        <f>'FY21 w YOY comp'!D194</f>
        <v>1000.19</v>
      </c>
      <c r="E187" s="47">
        <f>'FY21 w YOY comp'!E194</f>
        <v>800</v>
      </c>
      <c r="F187" s="22">
        <f>'FY21 w YOY comp'!F194</f>
        <v>0</v>
      </c>
      <c r="G187" s="21">
        <f>'FY21 w YOY comp'!G194</f>
        <v>340</v>
      </c>
      <c r="H187" s="22">
        <f>'FY21 w YOY comp'!I194</f>
        <v>5800</v>
      </c>
      <c r="I187" s="22">
        <f>'FY21 w YOY comp'!H194</f>
        <v>340</v>
      </c>
      <c r="J187" s="24">
        <f>'FY21 w YOY comp'!K194</f>
        <v>5000</v>
      </c>
      <c r="K187" s="1" t="str">
        <f>'FY21 w YOY comp'!O194</f>
        <v>increased 2/15/21 to reflect recent and predicted snow</v>
      </c>
      <c r="L187" s="1">
        <f>'FY21 w YOY comp'!P194</f>
        <v>0</v>
      </c>
      <c r="M187" s="1">
        <f>'FY21 w YOY comp'!Q194</f>
        <v>0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hidden="1" customHeight="1" x14ac:dyDescent="0.25">
      <c r="A188" s="122" t="str">
        <f>'FY21 w YOY comp'!A195</f>
        <v xml:space="preserve">      Total 5165 Grounds Maintenance</v>
      </c>
      <c r="B188" s="178">
        <f>'FY21 w YOY comp'!B195</f>
        <v>6097</v>
      </c>
      <c r="C188" s="178">
        <f>'FY21 w YOY comp'!C195</f>
        <v>3463</v>
      </c>
      <c r="D188" s="178">
        <f>'FY21 w YOY comp'!D195</f>
        <v>4140.1900000000005</v>
      </c>
      <c r="E188" s="178">
        <f>'FY21 w YOY comp'!E195</f>
        <v>4784</v>
      </c>
      <c r="F188" s="178">
        <f>'FY21 w YOY comp'!F195</f>
        <v>4280.34</v>
      </c>
      <c r="G188" s="178">
        <f>'FY21 w YOY comp'!G195</f>
        <v>5280.34</v>
      </c>
      <c r="H188" s="178">
        <f>'FY21 w YOY comp'!I195</f>
        <v>9760</v>
      </c>
      <c r="I188" s="178">
        <f>'FY21 w YOY comp'!H195</f>
        <v>5280.34</v>
      </c>
      <c r="J188" s="180">
        <f>'FY21 w YOY comp'!K195</f>
        <v>10500</v>
      </c>
      <c r="K188" s="131">
        <f>'FY21 w YOY comp'!O195</f>
        <v>0</v>
      </c>
      <c r="L188" s="131">
        <f>'FY21 w YOY comp'!P195</f>
        <v>0</v>
      </c>
      <c r="M188" s="131">
        <f>'FY21 w YOY comp'!Q195</f>
        <v>0</v>
      </c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  <c r="AA188" s="131"/>
    </row>
    <row r="189" spans="1:27" ht="15.75" hidden="1" customHeight="1" x14ac:dyDescent="0.25">
      <c r="A189" s="122" t="str">
        <f>'FY21 w YOY comp'!A196</f>
        <v xml:space="preserve">      5170 Insurance/Bonding</v>
      </c>
      <c r="B189" s="123">
        <f>'FY21 w YOY comp'!B196</f>
        <v>5268</v>
      </c>
      <c r="C189" s="123">
        <f>'FY21 w YOY comp'!C196</f>
        <v>5344</v>
      </c>
      <c r="D189" s="123">
        <f>'FY21 w YOY comp'!D196</f>
        <v>5422</v>
      </c>
      <c r="E189" s="123">
        <f>'FY21 w YOY comp'!E196</f>
        <v>5709</v>
      </c>
      <c r="F189" s="123">
        <f>'FY21 w YOY comp'!F196</f>
        <v>6382.5</v>
      </c>
      <c r="G189" s="123">
        <f>'FY21 w YOY comp'!G196</f>
        <v>6370</v>
      </c>
      <c r="H189" s="124">
        <f>'FY21 w YOY comp'!I196</f>
        <v>6000</v>
      </c>
      <c r="I189" s="124">
        <f>'FY21 w YOY comp'!H196</f>
        <v>6370</v>
      </c>
      <c r="J189" s="127">
        <f>'FY21 w YOY comp'!K196</f>
        <v>6000</v>
      </c>
      <c r="K189" s="131" t="str">
        <f>'FY21 w YOY comp'!O196</f>
        <v>currently $1336/quarter Mulitperil and $967/year base cost +$176 audit cost Workers' Comp.  Assume there will be a percentage increase on Multiperil, so maybe increase the whole thing to $6500 or $7000?</v>
      </c>
      <c r="L189" s="131">
        <f>'FY21 w YOY comp'!P196</f>
        <v>0</v>
      </c>
      <c r="M189" s="131">
        <f>'FY21 w YOY comp'!Q196</f>
        <v>0</v>
      </c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  <c r="AA189" s="131"/>
    </row>
    <row r="190" spans="1:27" ht="15.75" hidden="1" customHeight="1" x14ac:dyDescent="0.25">
      <c r="A190" s="122" t="str">
        <f>'FY21 w YOY comp'!A197</f>
        <v xml:space="preserve">      5175 Fees</v>
      </c>
      <c r="B190" s="123">
        <f>'FY21 w YOY comp'!B197</f>
        <v>1</v>
      </c>
      <c r="C190" s="123">
        <f>'FY21 w YOY comp'!C197</f>
        <v>1</v>
      </c>
      <c r="D190" s="123">
        <f>'FY21 w YOY comp'!D197</f>
        <v>68.53</v>
      </c>
      <c r="E190" s="123">
        <f>'FY21 w YOY comp'!E197</f>
        <v>45.41</v>
      </c>
      <c r="F190" s="123">
        <f>'FY21 w YOY comp'!F197</f>
        <v>45.41</v>
      </c>
      <c r="G190" s="123">
        <f>'FY21 w YOY comp'!G197</f>
        <v>57.3</v>
      </c>
      <c r="H190" s="124">
        <f>'FY21 w YOY comp'!I197</f>
        <v>45</v>
      </c>
      <c r="I190" s="124">
        <f>'FY21 w YOY comp'!H197</f>
        <v>57.3</v>
      </c>
      <c r="J190" s="127">
        <f>'FY21 w YOY comp'!K197</f>
        <v>1</v>
      </c>
      <c r="K190" s="131" t="str">
        <f>'FY21 w YOY comp'!O197</f>
        <v>$1 county stormwater tax fee; property tax fee from copier</v>
      </c>
      <c r="L190" s="131">
        <f>'FY21 w YOY comp'!P197</f>
        <v>0</v>
      </c>
      <c r="M190" s="131">
        <f>'FY21 w YOY comp'!Q197</f>
        <v>0</v>
      </c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</row>
    <row r="191" spans="1:27" ht="15.75" hidden="1" customHeight="1" x14ac:dyDescent="0.25">
      <c r="A191" s="122" t="str">
        <f>'FY21 w YOY comp'!A198</f>
        <v xml:space="preserve">      5185 Waste Removal</v>
      </c>
      <c r="B191" s="123">
        <f>'FY21 w YOY comp'!B198</f>
        <v>1110</v>
      </c>
      <c r="C191" s="123">
        <f>'FY21 w YOY comp'!C198</f>
        <v>1136.5</v>
      </c>
      <c r="D191" s="123">
        <f>'FY21 w YOY comp'!D198</f>
        <v>1498.75</v>
      </c>
      <c r="E191" s="123">
        <f>'FY21 w YOY comp'!E198</f>
        <v>1463.98</v>
      </c>
      <c r="F191" s="123">
        <f>'FY21 w YOY comp'!F198</f>
        <v>1342.63</v>
      </c>
      <c r="G191" s="123">
        <f>'FY21 w YOY comp'!G198</f>
        <v>1830.29</v>
      </c>
      <c r="H191" s="124">
        <f>'FY21 w YOY comp'!I198</f>
        <v>1600</v>
      </c>
      <c r="I191" s="124">
        <f>'FY21 w YOY comp'!H198</f>
        <v>1830.29</v>
      </c>
      <c r="J191" s="127">
        <f>'FY21 w YOY comp'!K198</f>
        <v>1882.56</v>
      </c>
      <c r="K191" s="274" t="str">
        <f>'FY21 w YOY comp'!O198</f>
        <v>$167.86/month + $350/year for the 5 recycling cans</v>
      </c>
      <c r="L191" s="131">
        <f>'FY21 w YOY comp'!P198</f>
        <v>0</v>
      </c>
      <c r="M191" s="131">
        <f>'FY21 w YOY comp'!Q198</f>
        <v>0</v>
      </c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  <c r="AA191" s="131"/>
    </row>
    <row r="192" spans="1:27" ht="15.75" hidden="1" customHeight="1" x14ac:dyDescent="0.25">
      <c r="A192" s="122" t="str">
        <f>'FY21 w YOY comp'!A199</f>
        <v xml:space="preserve">      5190 Security</v>
      </c>
      <c r="B192" s="123">
        <f>'FY21 w YOY comp'!B199</f>
        <v>0</v>
      </c>
      <c r="C192" s="123">
        <f>'FY21 w YOY comp'!C199</f>
        <v>0</v>
      </c>
      <c r="D192" s="123">
        <f>'FY21 w YOY comp'!D199</f>
        <v>0</v>
      </c>
      <c r="E192" s="123">
        <f>'FY21 w YOY comp'!E199</f>
        <v>0</v>
      </c>
      <c r="F192" s="123">
        <f>'FY21 w YOY comp'!F199</f>
        <v>0</v>
      </c>
      <c r="G192" s="123">
        <f>'FY21 w YOY comp'!G199</f>
        <v>0</v>
      </c>
      <c r="H192" s="124">
        <f>'FY21 w YOY comp'!I199</f>
        <v>500</v>
      </c>
      <c r="I192" s="124">
        <f>'FY21 w YOY comp'!H199</f>
        <v>0</v>
      </c>
      <c r="J192" s="127">
        <f>'FY21 w YOY comp'!K199</f>
        <v>500</v>
      </c>
      <c r="K192" s="274">
        <f>'FY21 w YOY comp'!O199</f>
        <v>0</v>
      </c>
      <c r="L192" s="131">
        <f>'FY21 w YOY comp'!P199</f>
        <v>0</v>
      </c>
      <c r="M192" s="131">
        <f>'FY21 w YOY comp'!Q199</f>
        <v>0</v>
      </c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</row>
    <row r="193" spans="1:27" ht="15.75" customHeight="1" x14ac:dyDescent="0.25">
      <c r="A193" s="217" t="str">
        <f>'FY21 w YOY comp'!A201</f>
        <v xml:space="preserve">   Total 5100 Property/Maintenance</v>
      </c>
      <c r="B193" s="218">
        <f>'FY21 w YOY comp'!B201</f>
        <v>126088.31</v>
      </c>
      <c r="C193" s="218">
        <f>'FY21 w YOY comp'!C201</f>
        <v>126320.36</v>
      </c>
      <c r="D193" s="218">
        <f>'FY21 w YOY comp'!D201</f>
        <v>122982.26999999999</v>
      </c>
      <c r="E193" s="218">
        <f>'FY21 w YOY comp'!E201</f>
        <v>104183.88999999998</v>
      </c>
      <c r="F193" s="218">
        <f>'FY21 w YOY comp'!F201</f>
        <v>94585.08</v>
      </c>
      <c r="G193" s="218">
        <f>'FY21 w YOY comp'!G201</f>
        <v>57520.740000000013</v>
      </c>
      <c r="H193" s="218">
        <f>'FY21 w YOY comp'!I201</f>
        <v>63387.46</v>
      </c>
      <c r="I193" s="218">
        <f>'FY21 w YOY comp'!H201</f>
        <v>57520.740000000013</v>
      </c>
      <c r="J193" s="220">
        <f>'FY21 w YOY comp'!K201</f>
        <v>89095.239999999991</v>
      </c>
      <c r="K193" s="224">
        <f>'FY21 w YOY comp'!O201</f>
        <v>0</v>
      </c>
      <c r="L193" s="224">
        <f>'FY21 w YOY comp'!P201</f>
        <v>0</v>
      </c>
      <c r="M193" s="224">
        <f>'FY21 w YOY comp'!Q201</f>
        <v>0</v>
      </c>
      <c r="N193" s="224"/>
      <c r="O193" s="224"/>
      <c r="P193" s="224"/>
      <c r="Q193" s="224"/>
      <c r="R193" s="224"/>
      <c r="S193" s="224"/>
      <c r="T193" s="224"/>
      <c r="U193" s="224"/>
      <c r="V193" s="224"/>
      <c r="W193" s="224"/>
      <c r="X193" s="224"/>
      <c r="Y193" s="224"/>
      <c r="Z193" s="224"/>
      <c r="AA193" s="224"/>
    </row>
    <row r="194" spans="1:27" ht="15.75" hidden="1" customHeight="1" x14ac:dyDescent="0.25">
      <c r="A194" s="20">
        <f>'FY21 w YOY comp'!A202</f>
        <v>0</v>
      </c>
      <c r="B194" s="21">
        <f>'FY21 w YOY comp'!B202</f>
        <v>0</v>
      </c>
      <c r="C194" s="21">
        <f>'FY21 w YOY comp'!C202</f>
        <v>0</v>
      </c>
      <c r="D194" s="21">
        <f>'FY21 w YOY comp'!D202</f>
        <v>0</v>
      </c>
      <c r="E194" s="47">
        <f>'FY21 w YOY comp'!E202</f>
        <v>0</v>
      </c>
      <c r="F194" s="22">
        <f>'FY21 w YOY comp'!F202</f>
        <v>0</v>
      </c>
      <c r="G194" s="21">
        <f>'FY21 w YOY comp'!G202</f>
        <v>0</v>
      </c>
      <c r="H194" s="22">
        <f>'FY21 w YOY comp'!I202</f>
        <v>0</v>
      </c>
      <c r="I194" s="22">
        <f>'FY21 w YOY comp'!H202</f>
        <v>0</v>
      </c>
      <c r="J194" s="24">
        <f>'FY21 w YOY comp'!K202</f>
        <v>0</v>
      </c>
      <c r="K194" s="1">
        <f>'FY21 w YOY comp'!O202</f>
        <v>0</v>
      </c>
      <c r="L194" s="1">
        <f>'FY21 w YOY comp'!P202</f>
        <v>0</v>
      </c>
      <c r="M194" s="1">
        <f>'FY21 w YOY comp'!Q202</f>
        <v>0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hidden="1" customHeight="1" x14ac:dyDescent="0.25">
      <c r="A195" s="122" t="str">
        <f>'FY21 w YOY comp'!A203</f>
        <v xml:space="preserve">   5200 Mission Support</v>
      </c>
      <c r="B195" s="125">
        <f>'FY21 w YOY comp'!B203</f>
        <v>0</v>
      </c>
      <c r="C195" s="125">
        <f>'FY21 w YOY comp'!C203</f>
        <v>0</v>
      </c>
      <c r="D195" s="125">
        <f>'FY21 w YOY comp'!D203</f>
        <v>0</v>
      </c>
      <c r="E195" s="123">
        <f>'FY21 w YOY comp'!E203</f>
        <v>99.18</v>
      </c>
      <c r="F195" s="124">
        <f>'FY21 w YOY comp'!F203</f>
        <v>0</v>
      </c>
      <c r="G195" s="125">
        <f>'FY21 w YOY comp'!G203</f>
        <v>0</v>
      </c>
      <c r="H195" s="124">
        <f>'FY21 w YOY comp'!I203</f>
        <v>0</v>
      </c>
      <c r="I195" s="124">
        <f>'FY21 w YOY comp'!H203</f>
        <v>0</v>
      </c>
      <c r="J195" s="127">
        <f>'FY21 w YOY comp'!K203</f>
        <v>0</v>
      </c>
      <c r="K195" s="131">
        <f>'FY21 w YOY comp'!O203</f>
        <v>0</v>
      </c>
      <c r="L195" s="131">
        <f>'FY21 w YOY comp'!P203</f>
        <v>0</v>
      </c>
      <c r="M195" s="131">
        <f>'FY21 w YOY comp'!Q203</f>
        <v>0</v>
      </c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</row>
    <row r="196" spans="1:27" ht="15.75" hidden="1" customHeight="1" x14ac:dyDescent="0.25">
      <c r="A196" s="122" t="str">
        <f>'FY21 w YOY comp'!A204</f>
        <v xml:space="preserve">      5210 Seminarian Support</v>
      </c>
      <c r="B196" s="125">
        <f>'FY21 w YOY comp'!B204</f>
        <v>0</v>
      </c>
      <c r="C196" s="125">
        <f>'FY21 w YOY comp'!C204</f>
        <v>0</v>
      </c>
      <c r="D196" s="125">
        <f>'FY21 w YOY comp'!D204</f>
        <v>0</v>
      </c>
      <c r="E196" s="125">
        <f>'FY21 w YOY comp'!E204</f>
        <v>0</v>
      </c>
      <c r="F196" s="123">
        <f>'FY21 w YOY comp'!F204</f>
        <v>194.18</v>
      </c>
      <c r="G196" s="123">
        <f>'FY21 w YOY comp'!G204</f>
        <v>194.18</v>
      </c>
      <c r="H196" s="124">
        <f>'FY21 w YOY comp'!I204</f>
        <v>417.29</v>
      </c>
      <c r="I196" s="124">
        <f>'FY21 w YOY comp'!H204</f>
        <v>194.18</v>
      </c>
      <c r="J196" s="127">
        <f>'FY21 w YOY comp'!K204</f>
        <v>200</v>
      </c>
      <c r="K196" s="131">
        <f>'FY21 w YOY comp'!O204</f>
        <v>0</v>
      </c>
      <c r="L196" s="131">
        <f>'FY21 w YOY comp'!P204</f>
        <v>0</v>
      </c>
      <c r="M196" s="131">
        <f>'FY21 w YOY comp'!Q204</f>
        <v>0</v>
      </c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</row>
    <row r="197" spans="1:27" ht="15.75" hidden="1" customHeight="1" x14ac:dyDescent="0.25">
      <c r="A197" s="122" t="str">
        <f>'FY21 w YOY comp'!A205</f>
        <v xml:space="preserve">      5215 Synod</v>
      </c>
      <c r="B197" s="123">
        <f>'FY21 w YOY comp'!B205</f>
        <v>23328.560000000001</v>
      </c>
      <c r="C197" s="123">
        <f>'FY21 w YOY comp'!C205</f>
        <v>23573.45</v>
      </c>
      <c r="D197" s="123">
        <f>'FY21 w YOY comp'!D205</f>
        <v>27332.06</v>
      </c>
      <c r="E197" s="123">
        <f>'FY21 w YOY comp'!E205</f>
        <v>25224.21</v>
      </c>
      <c r="F197" s="123">
        <f>'FY21 w YOY comp'!F205</f>
        <v>25226.86</v>
      </c>
      <c r="G197" s="123">
        <f>'FY21 w YOY comp'!G205</f>
        <v>24861.91</v>
      </c>
      <c r="H197" s="124">
        <f>'FY21 w YOY comp'!I205</f>
        <v>26260</v>
      </c>
      <c r="I197" s="124">
        <f>'FY21 w YOY comp'!H205</f>
        <v>24861.91</v>
      </c>
      <c r="J197" s="127">
        <f>'FY21 w YOY comp'!K205</f>
        <v>26190.416013333335</v>
      </c>
      <c r="K197" s="131" t="str">
        <f>'FY21 w YOY comp'!O205</f>
        <v>tied to Congregational Giving</v>
      </c>
      <c r="L197" s="131">
        <f>'FY21 w YOY comp'!P205</f>
        <v>0</v>
      </c>
      <c r="M197" s="131">
        <f>'FY21 w YOY comp'!Q205</f>
        <v>0</v>
      </c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  <c r="AA197" s="131"/>
    </row>
    <row r="198" spans="1:27" ht="15.75" hidden="1" customHeight="1" x14ac:dyDescent="0.25">
      <c r="A198" s="122" t="str">
        <f>'FY21 w YOY comp'!A206</f>
        <v xml:space="preserve">      5220 International Aid</v>
      </c>
      <c r="B198" s="123">
        <f>'FY21 w YOY comp'!B206</f>
        <v>534.23</v>
      </c>
      <c r="C198" s="123">
        <f>'FY21 w YOY comp'!C206</f>
        <v>542.38</v>
      </c>
      <c r="D198" s="123">
        <f>'FY21 w YOY comp'!D206</f>
        <v>327</v>
      </c>
      <c r="E198" s="123">
        <f>'FY21 w YOY comp'!E206</f>
        <v>176</v>
      </c>
      <c r="F198" s="124">
        <f>'FY21 w YOY comp'!F206</f>
        <v>0</v>
      </c>
      <c r="G198" s="125">
        <f>'FY21 w YOY comp'!G206</f>
        <v>0</v>
      </c>
      <c r="H198" s="124">
        <f>'FY21 w YOY comp'!I206</f>
        <v>1050.4000000000001</v>
      </c>
      <c r="I198" s="124">
        <f>'FY21 w YOY comp'!H206</f>
        <v>0</v>
      </c>
      <c r="J198" s="127">
        <f>'FY21 w YOY comp'!K206</f>
        <v>0</v>
      </c>
      <c r="K198" s="282" t="str">
        <f>'FY21 w YOY comp'!O206</f>
        <v>RETIRE LINE ITEM</v>
      </c>
      <c r="L198" s="131">
        <f>'FY21 w YOY comp'!P206</f>
        <v>0</v>
      </c>
      <c r="M198" s="131">
        <f>'FY21 w YOY comp'!Q206</f>
        <v>0</v>
      </c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  <c r="AA198" s="131"/>
    </row>
    <row r="199" spans="1:27" ht="15.75" hidden="1" customHeight="1" x14ac:dyDescent="0.25">
      <c r="A199" s="46" t="str">
        <f>'FY21 w YOY comp'!A207</f>
        <v xml:space="preserve">      5225 Local/National/International Generosity</v>
      </c>
      <c r="B199" s="47">
        <f>'FY21 w YOY comp'!B207</f>
        <v>4382.43</v>
      </c>
      <c r="C199" s="47">
        <f>'FY21 w YOY comp'!C207</f>
        <v>3924.99</v>
      </c>
      <c r="D199" s="47">
        <f>'FY21 w YOY comp'!D207</f>
        <v>6460.56</v>
      </c>
      <c r="E199" s="47">
        <f>'FY21 w YOY comp'!E207</f>
        <v>5960</v>
      </c>
      <c r="F199" s="47">
        <f>'FY21 w YOY comp'!F207</f>
        <v>570</v>
      </c>
      <c r="G199" s="21">
        <f>'FY21 w YOY comp'!G207</f>
        <v>0</v>
      </c>
      <c r="H199" s="22">
        <f>'FY21 w YOY comp'!I207</f>
        <v>0</v>
      </c>
      <c r="I199" s="22">
        <f>'FY21 w YOY comp'!H207</f>
        <v>0</v>
      </c>
      <c r="J199" s="24">
        <f>'FY21 w YOY comp'!K207</f>
        <v>0</v>
      </c>
      <c r="K199" s="1">
        <f>'FY21 w YOY comp'!O207</f>
        <v>0</v>
      </c>
      <c r="L199" s="1">
        <f>'FY21 w YOY comp'!P207</f>
        <v>0</v>
      </c>
      <c r="M199" s="1">
        <f>'FY21 w YOY comp'!Q207</f>
        <v>0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hidden="1" customHeight="1" x14ac:dyDescent="0.25">
      <c r="A200" s="46" t="str">
        <f>'FY21 w YOY comp'!A208</f>
        <v xml:space="preserve">         5226 Serving</v>
      </c>
      <c r="B200" s="21">
        <f>'FY21 w YOY comp'!B208</f>
        <v>0</v>
      </c>
      <c r="C200" s="21">
        <f>'FY21 w YOY comp'!C208</f>
        <v>0</v>
      </c>
      <c r="D200" s="21">
        <f>'FY21 w YOY comp'!D208</f>
        <v>0</v>
      </c>
      <c r="E200" s="21">
        <f>'FY21 w YOY comp'!E208</f>
        <v>0</v>
      </c>
      <c r="F200" s="47">
        <f>'FY21 w YOY comp'!F208</f>
        <v>2023.78</v>
      </c>
      <c r="G200" s="47">
        <f>'FY21 w YOY comp'!G208</f>
        <v>3484.5</v>
      </c>
      <c r="H200" s="22">
        <f>'FY21 w YOY comp'!I208</f>
        <v>4201.6000000000004</v>
      </c>
      <c r="I200" s="22">
        <f>'FY21 w YOY comp'!H208</f>
        <v>3484.5</v>
      </c>
      <c r="J200" s="24">
        <f>'FY21 w YOY comp'!K208</f>
        <v>5238.0832026666676</v>
      </c>
      <c r="K200" s="1" t="str">
        <f>'FY21 w YOY comp'!O208</f>
        <v>Per Strategic Plan, need to support local Black community. Percentage of cong giving (rental assistance, dental emergency, public storage, bills)</v>
      </c>
      <c r="L200" s="1">
        <f>'FY21 w YOY comp'!P208</f>
        <v>0</v>
      </c>
      <c r="M200" s="1">
        <f>'FY21 w YOY comp'!Q208</f>
        <v>0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hidden="1" customHeight="1" x14ac:dyDescent="0.25">
      <c r="A201" s="46" t="str">
        <f>'FY21 w YOY comp'!A209</f>
        <v xml:space="preserve">         5227 Community Jar</v>
      </c>
      <c r="B201" s="21">
        <f>'FY21 w YOY comp'!B209</f>
        <v>0</v>
      </c>
      <c r="C201" s="21">
        <f>'FY21 w YOY comp'!C209</f>
        <v>0</v>
      </c>
      <c r="D201" s="21">
        <f>'FY21 w YOY comp'!D209</f>
        <v>0</v>
      </c>
      <c r="E201" s="21">
        <f>'FY21 w YOY comp'!E209</f>
        <v>0</v>
      </c>
      <c r="F201" s="47">
        <f>'FY21 w YOY comp'!F209</f>
        <v>235.55</v>
      </c>
      <c r="G201" s="47">
        <f>'FY21 w YOY comp'!G209</f>
        <v>412.1</v>
      </c>
      <c r="H201" s="22">
        <f>'FY21 w YOY comp'!I209</f>
        <v>850</v>
      </c>
      <c r="I201" s="22">
        <f>'FY21 w YOY comp'!H209</f>
        <v>412.1</v>
      </c>
      <c r="J201" s="24">
        <f>'FY21 w YOY comp'!K209</f>
        <v>600</v>
      </c>
      <c r="K201" s="1" t="str">
        <f>'FY21 w YOY comp'!O209</f>
        <v>Requests for assistance (rent, bills, car, etc.) from Community jar; comes from 1802 Thrift Comm Jar income</v>
      </c>
      <c r="L201" s="1">
        <f>'FY21 w YOY comp'!P209</f>
        <v>0</v>
      </c>
      <c r="M201" s="1">
        <f>'FY21 w YOY comp'!Q209</f>
        <v>0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hidden="1" customHeight="1" x14ac:dyDescent="0.25">
      <c r="A202" s="46" t="str">
        <f>'FY21 w YOY comp'!A210</f>
        <v xml:space="preserve">         5228 Member Donation Spending</v>
      </c>
      <c r="B202" s="21">
        <f>'FY21 w YOY comp'!B210</f>
        <v>0</v>
      </c>
      <c r="C202" s="21">
        <f>'FY21 w YOY comp'!C210</f>
        <v>0</v>
      </c>
      <c r="D202" s="21">
        <f>'FY21 w YOY comp'!D210</f>
        <v>0</v>
      </c>
      <c r="E202" s="21">
        <f>'FY21 w YOY comp'!E210</f>
        <v>0</v>
      </c>
      <c r="F202" s="47">
        <f>'FY21 w YOY comp'!F210</f>
        <v>120</v>
      </c>
      <c r="G202" s="47">
        <f>'FY21 w YOY comp'!G210</f>
        <v>5355</v>
      </c>
      <c r="H202" s="22">
        <f>'FY21 w YOY comp'!I210</f>
        <v>0</v>
      </c>
      <c r="I202" s="22">
        <f>'FY21 w YOY comp'!H210</f>
        <v>5355</v>
      </c>
      <c r="J202" s="24">
        <f>'FY21 w YOY comp'!K210</f>
        <v>0</v>
      </c>
      <c r="K202" s="1" t="str">
        <f>'FY21 w YOY comp'!O210</f>
        <v>Local donations, disaster relief, corresponds to line item 1809</v>
      </c>
      <c r="L202" s="1">
        <f>'FY21 w YOY comp'!P210</f>
        <v>0</v>
      </c>
      <c r="M202" s="1">
        <f>'FY21 w YOY comp'!Q210</f>
        <v>0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hidden="1" customHeight="1" x14ac:dyDescent="0.25">
      <c r="A203" s="122" t="str">
        <f>'FY21 w YOY comp'!A211</f>
        <v xml:space="preserve">      Total 5225 Local/National</v>
      </c>
      <c r="B203" s="178">
        <f>'FY21 w YOY comp'!B211</f>
        <v>4382.43</v>
      </c>
      <c r="C203" s="178">
        <f>'FY21 w YOY comp'!C211</f>
        <v>3924.99</v>
      </c>
      <c r="D203" s="178">
        <f>'FY21 w YOY comp'!D211</f>
        <v>6460.56</v>
      </c>
      <c r="E203" s="178">
        <f>'FY21 w YOY comp'!E211</f>
        <v>5960</v>
      </c>
      <c r="F203" s="178">
        <f>'FY21 w YOY comp'!F211</f>
        <v>2949.33</v>
      </c>
      <c r="G203" s="178">
        <f>'FY21 w YOY comp'!G211</f>
        <v>9251.6</v>
      </c>
      <c r="H203" s="178">
        <f>'FY21 w YOY comp'!I211</f>
        <v>5051.6000000000004</v>
      </c>
      <c r="I203" s="178">
        <f>'FY21 w YOY comp'!H211</f>
        <v>9251.6</v>
      </c>
      <c r="J203" s="180">
        <f>'FY21 w YOY comp'!K211</f>
        <v>5838.0832026666676</v>
      </c>
      <c r="K203" s="131">
        <f>'FY21 w YOY comp'!O211</f>
        <v>0</v>
      </c>
      <c r="L203" s="131">
        <f>'FY21 w YOY comp'!P211</f>
        <v>0</v>
      </c>
      <c r="M203" s="131">
        <f>'FY21 w YOY comp'!Q211</f>
        <v>0</v>
      </c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  <c r="AA203" s="131"/>
    </row>
    <row r="204" spans="1:27" ht="15.75" hidden="1" customHeight="1" x14ac:dyDescent="0.25">
      <c r="A204" s="122" t="str">
        <f>'FY21 w YOY comp'!A212</f>
        <v xml:space="preserve">      5230 ACT/IAF</v>
      </c>
      <c r="B204" s="125">
        <f>'FY21 w YOY comp'!B212</f>
        <v>0</v>
      </c>
      <c r="C204" s="125">
        <f>'FY21 w YOY comp'!C212</f>
        <v>0</v>
      </c>
      <c r="D204" s="125">
        <f>'FY21 w YOY comp'!D212</f>
        <v>0</v>
      </c>
      <c r="E204" s="123">
        <f>'FY21 w YOY comp'!E212</f>
        <v>3115</v>
      </c>
      <c r="F204" s="123">
        <f>'FY21 w YOY comp'!F212</f>
        <v>2865.64</v>
      </c>
      <c r="G204" s="123">
        <f>'FY21 w YOY comp'!G212</f>
        <v>2625.96</v>
      </c>
      <c r="H204" s="124">
        <f>'FY21 w YOY comp'!I212</f>
        <v>2626</v>
      </c>
      <c r="I204" s="124">
        <f>'FY21 w YOY comp'!H212</f>
        <v>2625.96</v>
      </c>
      <c r="J204" s="127">
        <f>'FY21 w YOY comp'!K212</f>
        <v>2500</v>
      </c>
      <c r="K204" s="274" t="str">
        <f>'FY21 w YOY comp'!O212</f>
        <v>1% of cong giving, rounded for a flat donation</v>
      </c>
      <c r="L204" s="131">
        <f>'FY21 w YOY comp'!P212</f>
        <v>0</v>
      </c>
      <c r="M204" s="131">
        <f>'FY21 w YOY comp'!Q212</f>
        <v>0</v>
      </c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  <c r="AA204" s="131"/>
    </row>
    <row r="205" spans="1:27" ht="15.75" customHeight="1" x14ac:dyDescent="0.25">
      <c r="A205" s="217" t="str">
        <f>'FY21 w YOY comp'!A213</f>
        <v xml:space="preserve">   Total 5200 Mission Support</v>
      </c>
      <c r="B205" s="218">
        <f>'FY21 w YOY comp'!B213</f>
        <v>28245.22</v>
      </c>
      <c r="C205" s="218">
        <f>'FY21 w YOY comp'!C213</f>
        <v>28040.82</v>
      </c>
      <c r="D205" s="218">
        <f>'FY21 w YOY comp'!D213</f>
        <v>34119.620000000003</v>
      </c>
      <c r="E205" s="218">
        <f>'FY21 w YOY comp'!E213</f>
        <v>34574.39</v>
      </c>
      <c r="F205" s="218">
        <f>'FY21 w YOY comp'!F213</f>
        <v>31236.010000000002</v>
      </c>
      <c r="G205" s="218">
        <f>'FY21 w YOY comp'!G213</f>
        <v>36933.65</v>
      </c>
      <c r="H205" s="218">
        <f>'FY21 w YOY comp'!I213</f>
        <v>35405.29</v>
      </c>
      <c r="I205" s="218">
        <f>'FY21 w YOY comp'!H213</f>
        <v>36933.65</v>
      </c>
      <c r="J205" s="220">
        <f>'FY21 w YOY comp'!K213</f>
        <v>34728.499216000004</v>
      </c>
      <c r="K205" s="224">
        <f>'FY21 w YOY comp'!O213</f>
        <v>0</v>
      </c>
      <c r="L205" s="224">
        <f>'FY21 w YOY comp'!P213</f>
        <v>0</v>
      </c>
      <c r="M205" s="224">
        <f>'FY21 w YOY comp'!Q213</f>
        <v>0</v>
      </c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</row>
    <row r="206" spans="1:27" ht="15.75" hidden="1" customHeight="1" x14ac:dyDescent="0.25">
      <c r="A206" s="20">
        <f>'FY21 w YOY comp'!A214</f>
        <v>0</v>
      </c>
      <c r="B206" s="47">
        <f>'FY21 w YOY comp'!B214</f>
        <v>0</v>
      </c>
      <c r="C206" s="47">
        <f>'FY21 w YOY comp'!C214</f>
        <v>0</v>
      </c>
      <c r="D206" s="21">
        <f>'FY21 w YOY comp'!D214</f>
        <v>0</v>
      </c>
      <c r="E206" s="21">
        <f>'FY21 w YOY comp'!E214</f>
        <v>0</v>
      </c>
      <c r="F206" s="22">
        <f>'FY21 w YOY comp'!F214</f>
        <v>0</v>
      </c>
      <c r="G206" s="21">
        <f>'FY21 w YOY comp'!G214</f>
        <v>0</v>
      </c>
      <c r="H206" s="22">
        <f>'FY21 w YOY comp'!I214</f>
        <v>0</v>
      </c>
      <c r="I206" s="22">
        <f>'FY21 w YOY comp'!H214</f>
        <v>0</v>
      </c>
      <c r="J206" s="24">
        <f>'FY21 w YOY comp'!K214</f>
        <v>0</v>
      </c>
      <c r="K206" s="1">
        <f>'FY21 w YOY comp'!O214</f>
        <v>0</v>
      </c>
      <c r="L206" s="1">
        <f>'FY21 w YOY comp'!P214</f>
        <v>0</v>
      </c>
      <c r="M206" s="1">
        <f>'FY21 w YOY comp'!Q214</f>
        <v>0</v>
      </c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hidden="1" customHeight="1" x14ac:dyDescent="0.25">
      <c r="A207" s="122" t="str">
        <f>'FY21 w YOY comp'!A215</f>
        <v xml:space="preserve">   5300 Worship</v>
      </c>
      <c r="B207" s="123">
        <f>'FY21 w YOY comp'!B215</f>
        <v>431.03</v>
      </c>
      <c r="C207" s="123">
        <f>'FY21 w YOY comp'!C215</f>
        <v>75.8</v>
      </c>
      <c r="D207" s="125">
        <f>'FY21 w YOY comp'!D215</f>
        <v>0</v>
      </c>
      <c r="E207" s="125">
        <f>'FY21 w YOY comp'!E215</f>
        <v>0</v>
      </c>
      <c r="F207" s="124">
        <f>'FY21 w YOY comp'!F215</f>
        <v>0</v>
      </c>
      <c r="G207" s="125">
        <f>'FY21 w YOY comp'!G215</f>
        <v>0</v>
      </c>
      <c r="H207" s="124">
        <f>'FY21 w YOY comp'!I215</f>
        <v>0</v>
      </c>
      <c r="I207" s="124">
        <f>'FY21 w YOY comp'!H215</f>
        <v>0</v>
      </c>
      <c r="J207" s="127">
        <f>'FY21 w YOY comp'!K215</f>
        <v>0</v>
      </c>
      <c r="K207" s="131">
        <f>'FY21 w YOY comp'!O215</f>
        <v>0</v>
      </c>
      <c r="L207" s="131">
        <f>'FY21 w YOY comp'!P215</f>
        <v>0</v>
      </c>
      <c r="M207" s="131">
        <f>'FY21 w YOY comp'!Q215</f>
        <v>0</v>
      </c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131"/>
      <c r="AA207" s="131"/>
    </row>
    <row r="208" spans="1:27" ht="15.75" hidden="1" customHeight="1" x14ac:dyDescent="0.25">
      <c r="A208" s="122" t="str">
        <f>'FY21 w YOY comp'!A216</f>
        <v xml:space="preserve">      5310 Altar &amp; Worship Supplies</v>
      </c>
      <c r="B208" s="123">
        <f>'FY21 w YOY comp'!B216</f>
        <v>233.2</v>
      </c>
      <c r="C208" s="123">
        <f>'FY21 w YOY comp'!C216</f>
        <v>230.39</v>
      </c>
      <c r="D208" s="123">
        <f>'FY21 w YOY comp'!D216</f>
        <v>543.67999999999995</v>
      </c>
      <c r="E208" s="123">
        <f>'FY21 w YOY comp'!E216</f>
        <v>727.67</v>
      </c>
      <c r="F208" s="123">
        <f>'FY21 w YOY comp'!F216</f>
        <v>349.01</v>
      </c>
      <c r="G208" s="123">
        <f>'FY21 w YOY comp'!G216</f>
        <v>866.04</v>
      </c>
      <c r="H208" s="124">
        <f>'FY21 w YOY comp'!I216</f>
        <v>200</v>
      </c>
      <c r="I208" s="124">
        <f>'FY21 w YOY comp'!H216</f>
        <v>866.04</v>
      </c>
      <c r="J208" s="127">
        <f>'FY21 w YOY comp'!K216</f>
        <v>500</v>
      </c>
      <c r="K208" s="131" t="str">
        <f>'FY21 w YOY comp'!O216</f>
        <v>planning for half-year in building</v>
      </c>
      <c r="L208" s="131">
        <f>'FY21 w YOY comp'!P216</f>
        <v>0</v>
      </c>
      <c r="M208" s="131">
        <f>'FY21 w YOY comp'!Q216</f>
        <v>0</v>
      </c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  <c r="AA208" s="131"/>
    </row>
    <row r="209" spans="1:27" ht="15.75" hidden="1" customHeight="1" x14ac:dyDescent="0.25">
      <c r="A209" s="122" t="str">
        <f>'FY21 w YOY comp'!A217</f>
        <v xml:space="preserve">      5314 Flowers</v>
      </c>
      <c r="B209" s="123">
        <f>'FY21 w YOY comp'!B217</f>
        <v>434.46</v>
      </c>
      <c r="C209" s="123">
        <f>'FY21 w YOY comp'!C217</f>
        <v>563.26</v>
      </c>
      <c r="D209" s="123">
        <f>'FY21 w YOY comp'!D217</f>
        <v>695.7</v>
      </c>
      <c r="E209" s="123">
        <f>'FY21 w YOY comp'!E217</f>
        <v>771.88</v>
      </c>
      <c r="F209" s="123">
        <f>'FY21 w YOY comp'!F217</f>
        <v>550</v>
      </c>
      <c r="G209" s="123">
        <f>'FY21 w YOY comp'!G217</f>
        <v>0</v>
      </c>
      <c r="H209" s="124">
        <f>'FY21 w YOY comp'!I217</f>
        <v>350</v>
      </c>
      <c r="I209" s="124">
        <f>'FY21 w YOY comp'!H217</f>
        <v>0</v>
      </c>
      <c r="J209" s="127">
        <f>'FY21 w YOY comp'!K217</f>
        <v>475</v>
      </c>
      <c r="K209" s="131" t="str">
        <f>'FY21 w YOY comp'!O217</f>
        <v>corrresponds to income 1813, plus $100 for additional expenses</v>
      </c>
      <c r="L209" s="131">
        <f>'FY21 w YOY comp'!P217</f>
        <v>0</v>
      </c>
      <c r="M209" s="131">
        <f>'FY21 w YOY comp'!Q217</f>
        <v>0</v>
      </c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  <c r="AA209" s="131"/>
    </row>
    <row r="210" spans="1:27" ht="15.75" hidden="1" customHeight="1" x14ac:dyDescent="0.25">
      <c r="A210" s="122" t="str">
        <f>'FY21 w YOY comp'!A218</f>
        <v xml:space="preserve">      5318 Candles</v>
      </c>
      <c r="B210" s="123">
        <f>'FY21 w YOY comp'!B218</f>
        <v>258.85000000000002</v>
      </c>
      <c r="C210" s="123">
        <f>'FY21 w YOY comp'!C218</f>
        <v>29.67</v>
      </c>
      <c r="D210" s="123">
        <f>'FY21 w YOY comp'!D218</f>
        <v>53.94</v>
      </c>
      <c r="E210" s="123">
        <f>'FY21 w YOY comp'!E218</f>
        <v>56.55</v>
      </c>
      <c r="F210" s="123">
        <f>'FY21 w YOY comp'!F218</f>
        <v>580.92999999999995</v>
      </c>
      <c r="G210" s="123">
        <f>'FY21 w YOY comp'!G218</f>
        <v>601.11</v>
      </c>
      <c r="H210" s="124">
        <f>'FY21 w YOY comp'!I218</f>
        <v>50</v>
      </c>
      <c r="I210" s="124">
        <f>'FY21 w YOY comp'!H218</f>
        <v>601.11</v>
      </c>
      <c r="J210" s="127">
        <f>'FY21 w YOY comp'!K218</f>
        <v>350</v>
      </c>
      <c r="K210" s="131" t="str">
        <f>'FY21 w YOY comp'!O218</f>
        <v>150 "silent night" candles and holders need to be replaced; plus worship space candles. I know we ordered candles for this year, but they went to homes and we can't expect they be returned</v>
      </c>
      <c r="L210" s="131">
        <f>'FY21 w YOY comp'!P218</f>
        <v>0</v>
      </c>
      <c r="M210" s="131">
        <f>'FY21 w YOY comp'!Q218</f>
        <v>0</v>
      </c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  <c r="AA210" s="131"/>
    </row>
    <row r="211" spans="1:27" ht="15.75" hidden="1" customHeight="1" x14ac:dyDescent="0.25">
      <c r="A211" s="122" t="str">
        <f>'FY21 w YOY comp'!A219</f>
        <v xml:space="preserve">      5319 Undesignated</v>
      </c>
      <c r="B211" s="125">
        <f>'FY21 w YOY comp'!B219</f>
        <v>0</v>
      </c>
      <c r="C211" s="123">
        <f>'FY21 w YOY comp'!C219</f>
        <v>57.31</v>
      </c>
      <c r="D211" s="125">
        <f>'FY21 w YOY comp'!D219</f>
        <v>0</v>
      </c>
      <c r="E211" s="125">
        <f>'FY21 w YOY comp'!E219</f>
        <v>0</v>
      </c>
      <c r="F211" s="124">
        <f>'FY21 w YOY comp'!F219</f>
        <v>0</v>
      </c>
      <c r="G211" s="125">
        <f>'FY21 w YOY comp'!G219</f>
        <v>0</v>
      </c>
      <c r="H211" s="124">
        <f>'FY21 w YOY comp'!I219</f>
        <v>0</v>
      </c>
      <c r="I211" s="124">
        <f>'FY21 w YOY comp'!H219</f>
        <v>0</v>
      </c>
      <c r="J211" s="127">
        <f>'FY21 w YOY comp'!K219</f>
        <v>0</v>
      </c>
      <c r="K211" s="131">
        <f>'FY21 w YOY comp'!O219</f>
        <v>0</v>
      </c>
      <c r="L211" s="131">
        <f>'FY21 w YOY comp'!P219</f>
        <v>0</v>
      </c>
      <c r="M211" s="131">
        <f>'FY21 w YOY comp'!Q219</f>
        <v>0</v>
      </c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  <c r="AA211" s="131"/>
    </row>
    <row r="212" spans="1:27" ht="15.75" hidden="1" customHeight="1" x14ac:dyDescent="0.25">
      <c r="A212" s="122" t="str">
        <f>'FY21 w YOY comp'!A220</f>
        <v xml:space="preserve">      5320 Bread of Life Painting Share</v>
      </c>
      <c r="B212" s="125">
        <f>'FY21 w YOY comp'!B220</f>
        <v>0</v>
      </c>
      <c r="C212" s="125">
        <f>'FY21 w YOY comp'!C220</f>
        <v>0</v>
      </c>
      <c r="D212" s="125">
        <f>'FY21 w YOY comp'!D220</f>
        <v>0</v>
      </c>
      <c r="E212" s="123">
        <f>'FY21 w YOY comp'!E220</f>
        <v>2017.01</v>
      </c>
      <c r="F212" s="123">
        <f>'FY21 w YOY comp'!F220</f>
        <v>2017.01</v>
      </c>
      <c r="G212" s="125">
        <f>'FY21 w YOY comp'!G220</f>
        <v>0</v>
      </c>
      <c r="H212" s="124">
        <f>'FY21 w YOY comp'!I220</f>
        <v>0</v>
      </c>
      <c r="I212" s="124">
        <f>'FY21 w YOY comp'!H220</f>
        <v>0</v>
      </c>
      <c r="J212" s="127">
        <f>'FY21 w YOY comp'!K220</f>
        <v>0</v>
      </c>
      <c r="K212" s="131">
        <f>'FY21 w YOY comp'!O220</f>
        <v>0</v>
      </c>
      <c r="L212" s="131">
        <f>'FY21 w YOY comp'!P220</f>
        <v>0</v>
      </c>
      <c r="M212" s="131">
        <f>'FY21 w YOY comp'!Q220</f>
        <v>0</v>
      </c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  <c r="AA212" s="131"/>
    </row>
    <row r="213" spans="1:27" ht="15.75" customHeight="1" x14ac:dyDescent="0.25">
      <c r="A213" s="217" t="str">
        <f>'FY21 w YOY comp'!A221</f>
        <v xml:space="preserve">   Total 5300 Worship</v>
      </c>
      <c r="B213" s="218">
        <f>'FY21 w YOY comp'!B221</f>
        <v>1357.54</v>
      </c>
      <c r="C213" s="218">
        <f>'FY21 w YOY comp'!C221</f>
        <v>956.43000000000006</v>
      </c>
      <c r="D213" s="218">
        <f>'FY21 w YOY comp'!D221</f>
        <v>1293.3200000000002</v>
      </c>
      <c r="E213" s="218">
        <f>'FY21 w YOY comp'!E221</f>
        <v>3573.1099999999997</v>
      </c>
      <c r="F213" s="218">
        <f>'FY21 w YOY comp'!F221</f>
        <v>3496.95</v>
      </c>
      <c r="G213" s="218">
        <f>'FY21 w YOY comp'!G221</f>
        <v>1467.15</v>
      </c>
      <c r="H213" s="218">
        <f>'FY21 w YOY comp'!I221</f>
        <v>600</v>
      </c>
      <c r="I213" s="218">
        <f>'FY21 w YOY comp'!H221</f>
        <v>1467.15</v>
      </c>
      <c r="J213" s="220">
        <f>'FY21 w YOY comp'!K221</f>
        <v>1325</v>
      </c>
      <c r="K213" s="224">
        <f>'FY21 w YOY comp'!O221</f>
        <v>0</v>
      </c>
      <c r="L213" s="224">
        <f>'FY21 w YOY comp'!P221</f>
        <v>0</v>
      </c>
      <c r="M213" s="224">
        <f>'FY21 w YOY comp'!Q221</f>
        <v>0</v>
      </c>
      <c r="N213" s="224"/>
      <c r="O213" s="224"/>
      <c r="P213" s="224"/>
      <c r="Q213" s="224"/>
      <c r="R213" s="224"/>
      <c r="S213" s="224"/>
      <c r="T213" s="224"/>
      <c r="U213" s="224"/>
      <c r="V213" s="224"/>
      <c r="W213" s="224"/>
      <c r="X213" s="224"/>
      <c r="Y213" s="224"/>
      <c r="Z213" s="224"/>
      <c r="AA213" s="224"/>
    </row>
    <row r="214" spans="1:27" ht="15.75" hidden="1" customHeight="1" x14ac:dyDescent="0.25">
      <c r="A214" s="20">
        <f>'FY21 w YOY comp'!A222</f>
        <v>0</v>
      </c>
      <c r="B214" s="21">
        <f>'FY21 w YOY comp'!B222</f>
        <v>0</v>
      </c>
      <c r="C214" s="21">
        <f>'FY21 w YOY comp'!C222</f>
        <v>0</v>
      </c>
      <c r="D214" s="21">
        <f>'FY21 w YOY comp'!D222</f>
        <v>0</v>
      </c>
      <c r="E214" s="21">
        <f>'FY21 w YOY comp'!E222</f>
        <v>0</v>
      </c>
      <c r="F214" s="22">
        <f>'FY21 w YOY comp'!F222</f>
        <v>0</v>
      </c>
      <c r="G214" s="21">
        <f>'FY21 w YOY comp'!G222</f>
        <v>0</v>
      </c>
      <c r="H214" s="22">
        <f>'FY21 w YOY comp'!I222</f>
        <v>0</v>
      </c>
      <c r="I214" s="22">
        <f>'FY21 w YOY comp'!H222</f>
        <v>0</v>
      </c>
      <c r="J214" s="24">
        <f>'FY21 w YOY comp'!K222</f>
        <v>0</v>
      </c>
      <c r="K214" s="1">
        <f>'FY21 w YOY comp'!O222</f>
        <v>0</v>
      </c>
      <c r="L214" s="1">
        <f>'FY21 w YOY comp'!P222</f>
        <v>0</v>
      </c>
      <c r="M214" s="1">
        <f>'FY21 w YOY comp'!Q222</f>
        <v>0</v>
      </c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hidden="1" customHeight="1" x14ac:dyDescent="0.25">
      <c r="A215" s="122" t="str">
        <f>'FY21 w YOY comp'!A223</f>
        <v xml:space="preserve">   5400 Music</v>
      </c>
      <c r="B215" s="125">
        <f>'FY21 w YOY comp'!B223</f>
        <v>0</v>
      </c>
      <c r="C215" s="125">
        <f>'FY21 w YOY comp'!C223</f>
        <v>0</v>
      </c>
      <c r="D215" s="125">
        <f>'FY21 w YOY comp'!D223</f>
        <v>0</v>
      </c>
      <c r="E215" s="125">
        <f>'FY21 w YOY comp'!E223</f>
        <v>0</v>
      </c>
      <c r="F215" s="124">
        <f>'FY21 w YOY comp'!F223</f>
        <v>0</v>
      </c>
      <c r="G215" s="125">
        <f>'FY21 w YOY comp'!G223</f>
        <v>0</v>
      </c>
      <c r="H215" s="124">
        <f>'FY21 w YOY comp'!I223</f>
        <v>0</v>
      </c>
      <c r="I215" s="124">
        <f>'FY21 w YOY comp'!H223</f>
        <v>0</v>
      </c>
      <c r="J215" s="127">
        <f>'FY21 w YOY comp'!K223</f>
        <v>0</v>
      </c>
      <c r="K215" s="131">
        <f>'FY21 w YOY comp'!O223</f>
        <v>0</v>
      </c>
      <c r="L215" s="131">
        <f>'FY21 w YOY comp'!P223</f>
        <v>0</v>
      </c>
      <c r="M215" s="131">
        <f>'FY21 w YOY comp'!Q223</f>
        <v>0</v>
      </c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  <c r="AA215" s="131"/>
    </row>
    <row r="216" spans="1:27" ht="15.75" hidden="1" customHeight="1" x14ac:dyDescent="0.25">
      <c r="A216" s="122" t="str">
        <f>'FY21 w YOY comp'!A224</f>
        <v xml:space="preserve">      5410 Praise Service Needs</v>
      </c>
      <c r="B216" s="125">
        <f>'FY21 w YOY comp'!B224</f>
        <v>0</v>
      </c>
      <c r="C216" s="125">
        <f>'FY21 w YOY comp'!C224</f>
        <v>0</v>
      </c>
      <c r="D216" s="125">
        <f>'FY21 w YOY comp'!D224</f>
        <v>0</v>
      </c>
      <c r="E216" s="125">
        <f>'FY21 w YOY comp'!E224</f>
        <v>0</v>
      </c>
      <c r="F216" s="124">
        <f>'FY21 w YOY comp'!F224</f>
        <v>0</v>
      </c>
      <c r="G216" s="125">
        <f>'FY21 w YOY comp'!G224</f>
        <v>400</v>
      </c>
      <c r="H216" s="124">
        <f>'FY21 w YOY comp'!I224</f>
        <v>200</v>
      </c>
      <c r="I216" s="124">
        <f>'FY21 w YOY comp'!H224</f>
        <v>400</v>
      </c>
      <c r="J216" s="127">
        <f>'FY21 w YOY comp'!K224</f>
        <v>500</v>
      </c>
      <c r="K216" s="131" t="str">
        <f>'FY21 w YOY comp'!O224</f>
        <v>Lent boxes in virtual worship; doing in FY22?</v>
      </c>
      <c r="L216" s="131">
        <f>'FY21 w YOY comp'!P224</f>
        <v>0</v>
      </c>
      <c r="M216" s="131">
        <f>'FY21 w YOY comp'!Q224</f>
        <v>0</v>
      </c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  <c r="AA216" s="131"/>
    </row>
    <row r="217" spans="1:27" ht="15.75" hidden="1" customHeight="1" x14ac:dyDescent="0.25">
      <c r="A217" s="122" t="str">
        <f>'FY21 w YOY comp'!A225</f>
        <v xml:space="preserve">      5415 Praise Service Equipment Payoff (deleted)</v>
      </c>
      <c r="B217" s="123">
        <f>'FY21 w YOY comp'!B225</f>
        <v>500</v>
      </c>
      <c r="C217" s="123">
        <f>'FY21 w YOY comp'!C225</f>
        <v>500</v>
      </c>
      <c r="D217" s="125">
        <f>'FY21 w YOY comp'!D225</f>
        <v>0</v>
      </c>
      <c r="E217" s="125">
        <f>'FY21 w YOY comp'!E225</f>
        <v>0</v>
      </c>
      <c r="F217" s="124">
        <f>'FY21 w YOY comp'!F225</f>
        <v>0</v>
      </c>
      <c r="G217" s="125">
        <f>'FY21 w YOY comp'!G225</f>
        <v>0</v>
      </c>
      <c r="H217" s="124">
        <f>'FY21 w YOY comp'!I225</f>
        <v>0</v>
      </c>
      <c r="I217" s="124">
        <f>'FY21 w YOY comp'!H225</f>
        <v>0</v>
      </c>
      <c r="J217" s="127">
        <f>'FY21 w YOY comp'!K225</f>
        <v>0</v>
      </c>
      <c r="K217" s="131">
        <f>'FY21 w YOY comp'!O225</f>
        <v>0</v>
      </c>
      <c r="L217" s="131">
        <f>'FY21 w YOY comp'!P225</f>
        <v>0</v>
      </c>
      <c r="M217" s="131">
        <f>'FY21 w YOY comp'!Q225</f>
        <v>0</v>
      </c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  <c r="AA217" s="131"/>
    </row>
    <row r="218" spans="1:27" ht="15.75" hidden="1" customHeight="1" x14ac:dyDescent="0.25">
      <c r="A218" s="46" t="str">
        <f>'FY21 w YOY comp'!A226</f>
        <v xml:space="preserve">      5435 License Fees</v>
      </c>
      <c r="B218" s="21">
        <f>'FY21 w YOY comp'!B226</f>
        <v>0</v>
      </c>
      <c r="C218" s="21">
        <f>'FY21 w YOY comp'!C226</f>
        <v>0</v>
      </c>
      <c r="D218" s="21">
        <f>'FY21 w YOY comp'!D226</f>
        <v>0</v>
      </c>
      <c r="E218" s="21">
        <f>'FY21 w YOY comp'!E226</f>
        <v>0</v>
      </c>
      <c r="F218" s="22">
        <f>'FY21 w YOY comp'!F226</f>
        <v>0</v>
      </c>
      <c r="G218" s="21">
        <f>'FY21 w YOY comp'!G226</f>
        <v>0</v>
      </c>
      <c r="H218" s="22">
        <f>'FY21 w YOY comp'!I226</f>
        <v>0</v>
      </c>
      <c r="I218" s="22">
        <f>'FY21 w YOY comp'!H226</f>
        <v>0</v>
      </c>
      <c r="J218" s="24">
        <f>'FY21 w YOY comp'!K226</f>
        <v>0</v>
      </c>
      <c r="K218" s="318">
        <f>'FY21 w YOY comp'!O226</f>
        <v>0</v>
      </c>
      <c r="L218" s="1">
        <f>'FY21 w YOY comp'!P226</f>
        <v>0</v>
      </c>
      <c r="M218" s="1">
        <f>'FY21 w YOY comp'!Q226</f>
        <v>0</v>
      </c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hidden="1" customHeight="1" x14ac:dyDescent="0.25">
      <c r="A219" s="46" t="str">
        <f>'FY21 w YOY comp'!A227</f>
        <v xml:space="preserve">         5436 CCLI</v>
      </c>
      <c r="B219" s="47">
        <f>'FY21 w YOY comp'!B227</f>
        <v>492</v>
      </c>
      <c r="C219" s="47">
        <f>'FY21 w YOY comp'!C227</f>
        <v>509</v>
      </c>
      <c r="D219" s="47">
        <f>'FY21 w YOY comp'!D227</f>
        <v>509</v>
      </c>
      <c r="E219" s="47">
        <f>'FY21 w YOY comp'!E227</f>
        <v>520</v>
      </c>
      <c r="F219" s="47">
        <f>'FY21 w YOY comp'!F227</f>
        <v>520</v>
      </c>
      <c r="G219" s="21">
        <f>'FY21 w YOY comp'!G227</f>
        <v>541</v>
      </c>
      <c r="H219" s="55">
        <f>'FY21 w YOY comp'!I227</f>
        <v>520</v>
      </c>
      <c r="I219" s="22">
        <f>'FY21 w YOY comp'!H227</f>
        <v>541</v>
      </c>
      <c r="J219" s="73">
        <f>'FY21 w YOY comp'!K227</f>
        <v>541</v>
      </c>
      <c r="K219" s="1" t="str">
        <f>'FY21 w YOY comp'!O227</f>
        <v>CCLI License breakdown: copyright-243, rehearsal-154, SongSelect-162</v>
      </c>
      <c r="L219" s="1">
        <f>'FY21 w YOY comp'!P227</f>
        <v>0</v>
      </c>
      <c r="M219" s="1">
        <f>'FY21 w YOY comp'!Q227</f>
        <v>0</v>
      </c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hidden="1" customHeight="1" x14ac:dyDescent="0.25">
      <c r="A220" s="46" t="str">
        <f>'FY21 w YOY comp'!A228</f>
        <v xml:space="preserve">         5437 Video License</v>
      </c>
      <c r="B220" s="21">
        <f>'FY21 w YOY comp'!B228</f>
        <v>0</v>
      </c>
      <c r="C220" s="21">
        <f>'FY21 w YOY comp'!C228</f>
        <v>0</v>
      </c>
      <c r="D220" s="21">
        <f>'FY21 w YOY comp'!D228</f>
        <v>0</v>
      </c>
      <c r="E220" s="47">
        <f>'FY21 w YOY comp'!E228</f>
        <v>250</v>
      </c>
      <c r="F220" s="47">
        <f>'FY21 w YOY comp'!F228</f>
        <v>250</v>
      </c>
      <c r="G220" s="47">
        <f>'FY21 w YOY comp'!G228</f>
        <v>250</v>
      </c>
      <c r="H220" s="55">
        <f>'FY21 w YOY comp'!I228</f>
        <v>250</v>
      </c>
      <c r="I220" s="22">
        <f>'FY21 w YOY comp'!H228</f>
        <v>250</v>
      </c>
      <c r="J220" s="73">
        <f>'FY21 w YOY comp'!K228</f>
        <v>250</v>
      </c>
      <c r="K220" s="1">
        <f>'FY21 w YOY comp'!O228</f>
        <v>0</v>
      </c>
      <c r="L220" s="1">
        <f>'FY21 w YOY comp'!P228</f>
        <v>0</v>
      </c>
      <c r="M220" s="1">
        <f>'FY21 w YOY comp'!Q228</f>
        <v>0</v>
      </c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hidden="1" customHeight="1" x14ac:dyDescent="0.25">
      <c r="A221" s="46" t="str">
        <f>'FY21 w YOY comp'!A229</f>
        <v xml:space="preserve">         5438 Content Streaming License</v>
      </c>
      <c r="B221" s="21">
        <f>'FY21 w YOY comp'!B229</f>
        <v>0</v>
      </c>
      <c r="C221" s="21">
        <f>'FY21 w YOY comp'!C229</f>
        <v>0</v>
      </c>
      <c r="D221" s="21">
        <f>'FY21 w YOY comp'!D229</f>
        <v>0</v>
      </c>
      <c r="E221" s="21">
        <f>'FY21 w YOY comp'!E229</f>
        <v>0</v>
      </c>
      <c r="F221" s="47">
        <f>'FY21 w YOY comp'!F229</f>
        <v>69</v>
      </c>
      <c r="G221" s="47">
        <f>'FY21 w YOY comp'!G229</f>
        <v>69</v>
      </c>
      <c r="H221" s="55">
        <f>'FY21 w YOY comp'!I229</f>
        <v>65</v>
      </c>
      <c r="I221" s="22">
        <f>'FY21 w YOY comp'!H229</f>
        <v>69</v>
      </c>
      <c r="J221" s="73">
        <f>'FY21 w YOY comp'!K229</f>
        <v>73</v>
      </c>
      <c r="K221" s="1" t="str">
        <f>'FY21 w YOY comp'!O229</f>
        <v>Any increase for enchanced hybrid service?</v>
      </c>
      <c r="L221" s="1">
        <f>'FY21 w YOY comp'!P229</f>
        <v>0</v>
      </c>
      <c r="M221" s="1">
        <f>'FY21 w YOY comp'!Q229</f>
        <v>0</v>
      </c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hidden="1" customHeight="1" x14ac:dyDescent="0.25">
      <c r="A222" s="122" t="str">
        <f>'FY21 w YOY comp'!A230</f>
        <v xml:space="preserve">      Total 5435 License Fees</v>
      </c>
      <c r="B222" s="178">
        <f>'FY21 w YOY comp'!B230</f>
        <v>492</v>
      </c>
      <c r="C222" s="178">
        <f>'FY21 w YOY comp'!C230</f>
        <v>509</v>
      </c>
      <c r="D222" s="178">
        <f>'FY21 w YOY comp'!D230</f>
        <v>509</v>
      </c>
      <c r="E222" s="178">
        <f>'FY21 w YOY comp'!E230</f>
        <v>770</v>
      </c>
      <c r="F222" s="178">
        <f>'FY21 w YOY comp'!F230</f>
        <v>839</v>
      </c>
      <c r="G222" s="178">
        <f>'FY21 w YOY comp'!G230</f>
        <v>860</v>
      </c>
      <c r="H222" s="178">
        <f>'FY21 w YOY comp'!I230</f>
        <v>835</v>
      </c>
      <c r="I222" s="178">
        <f>'FY21 w YOY comp'!H230</f>
        <v>860</v>
      </c>
      <c r="J222" s="180">
        <f>'FY21 w YOY comp'!K230</f>
        <v>864</v>
      </c>
      <c r="K222" s="131">
        <f>'FY21 w YOY comp'!O230</f>
        <v>0</v>
      </c>
      <c r="L222" s="131">
        <f>'FY21 w YOY comp'!P230</f>
        <v>0</v>
      </c>
      <c r="M222" s="131">
        <f>'FY21 w YOY comp'!Q230</f>
        <v>0</v>
      </c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  <c r="AA222" s="131"/>
    </row>
    <row r="223" spans="1:27" ht="15.75" hidden="1" customHeight="1" x14ac:dyDescent="0.25">
      <c r="A223" s="46" t="str">
        <f>'FY21 w YOY comp'!A231</f>
        <v xml:space="preserve">      5440 Worship Technology</v>
      </c>
      <c r="B223" s="21">
        <f>'FY21 w YOY comp'!B231</f>
        <v>0</v>
      </c>
      <c r="C223" s="21">
        <f>'FY21 w YOY comp'!C231</f>
        <v>0</v>
      </c>
      <c r="D223" s="21">
        <f>'FY21 w YOY comp'!D231</f>
        <v>0</v>
      </c>
      <c r="E223" s="21">
        <f>'FY21 w YOY comp'!E231</f>
        <v>0</v>
      </c>
      <c r="F223" s="22">
        <f>'FY21 w YOY comp'!F231</f>
        <v>0</v>
      </c>
      <c r="G223" s="21">
        <f>'FY21 w YOY comp'!G231</f>
        <v>0</v>
      </c>
      <c r="H223" s="22">
        <f>'FY21 w YOY comp'!I231</f>
        <v>0</v>
      </c>
      <c r="I223" s="22">
        <f>'FY21 w YOY comp'!H231</f>
        <v>0</v>
      </c>
      <c r="J223" s="24">
        <f>'FY21 w YOY comp'!K231</f>
        <v>0</v>
      </c>
      <c r="K223" s="1">
        <f>'FY21 w YOY comp'!O231</f>
        <v>0</v>
      </c>
      <c r="L223" s="1">
        <f>'FY21 w YOY comp'!P231</f>
        <v>0</v>
      </c>
      <c r="M223" s="1">
        <f>'FY21 w YOY comp'!Q231</f>
        <v>0</v>
      </c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hidden="1" customHeight="1" x14ac:dyDescent="0.25">
      <c r="A224" s="46" t="str">
        <f>'FY21 w YOY comp'!A232</f>
        <v xml:space="preserve">         5441 Worship Conference</v>
      </c>
      <c r="B224" s="21">
        <f>'FY21 w YOY comp'!B232</f>
        <v>0</v>
      </c>
      <c r="C224" s="21">
        <f>'FY21 w YOY comp'!C232</f>
        <v>0</v>
      </c>
      <c r="D224" s="21">
        <f>'FY21 w YOY comp'!D232</f>
        <v>0</v>
      </c>
      <c r="E224" s="47">
        <f>'FY21 w YOY comp'!E232</f>
        <v>0</v>
      </c>
      <c r="F224" s="47">
        <f>'FY21 w YOY comp'!F232</f>
        <v>0</v>
      </c>
      <c r="G224" s="47">
        <f>'FY21 w YOY comp'!G232</f>
        <v>0</v>
      </c>
      <c r="H224" s="22">
        <f>'FY21 w YOY comp'!I232</f>
        <v>1000</v>
      </c>
      <c r="I224" s="22">
        <f>'FY21 w YOY comp'!H232</f>
        <v>0</v>
      </c>
      <c r="J224" s="24">
        <f>'FY21 w YOY comp'!K232</f>
        <v>0</v>
      </c>
      <c r="K224" s="1">
        <f>'FY21 w YOY comp'!O232</f>
        <v>6050.52</v>
      </c>
      <c r="L224" s="1" t="str">
        <f>'FY21 w YOY comp'!P232</f>
        <v>would be FY21 profit so we are putting into Worship Tech</v>
      </c>
      <c r="M224" s="1">
        <f>'FY21 w YOY comp'!Q232</f>
        <v>0</v>
      </c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hidden="1" customHeight="1" x14ac:dyDescent="0.25">
      <c r="A225" s="46" t="str">
        <f>'FY21 w YOY comp'!A233</f>
        <v xml:space="preserve">         5442 Sound</v>
      </c>
      <c r="B225" s="21">
        <f>'FY21 w YOY comp'!B233</f>
        <v>0</v>
      </c>
      <c r="C225" s="21">
        <f>'FY21 w YOY comp'!C233</f>
        <v>0</v>
      </c>
      <c r="D225" s="21">
        <f>'FY21 w YOY comp'!D233</f>
        <v>0</v>
      </c>
      <c r="E225" s="47">
        <f>'FY21 w YOY comp'!E233</f>
        <v>19.809999999999999</v>
      </c>
      <c r="F225" s="47">
        <f>'FY21 w YOY comp'!F233</f>
        <v>319.8</v>
      </c>
      <c r="G225" s="47">
        <f>'FY21 w YOY comp'!G233</f>
        <v>299.99</v>
      </c>
      <c r="H225" s="22">
        <f>'FY21 w YOY comp'!I233</f>
        <v>500</v>
      </c>
      <c r="I225" s="22">
        <f>'FY21 w YOY comp'!H233</f>
        <v>299.99</v>
      </c>
      <c r="J225" s="24">
        <f>'FY21 w YOY comp'!K233</f>
        <v>1512.63</v>
      </c>
      <c r="K225" s="1">
        <f>'FY21 w YOY comp'!O233</f>
        <v>0</v>
      </c>
      <c r="L225" s="1" t="str">
        <f>'FY21 w YOY comp'!P233</f>
        <v>would be FY22 profit so we are putting into Worship Tech</v>
      </c>
      <c r="M225" s="1">
        <f>'FY21 w YOY comp'!Q233</f>
        <v>0</v>
      </c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hidden="1" customHeight="1" x14ac:dyDescent="0.25">
      <c r="A226" s="46" t="str">
        <f>'FY21 w YOY comp'!A234</f>
        <v xml:space="preserve">         5443 Video</v>
      </c>
      <c r="B226" s="21">
        <f>'FY21 w YOY comp'!B234</f>
        <v>0</v>
      </c>
      <c r="C226" s="21">
        <f>'FY21 w YOY comp'!C234</f>
        <v>0</v>
      </c>
      <c r="D226" s="21">
        <f>'FY21 w YOY comp'!D234</f>
        <v>0</v>
      </c>
      <c r="E226" s="47">
        <f>'FY21 w YOY comp'!E234</f>
        <v>0</v>
      </c>
      <c r="F226" s="47">
        <f>'FY21 w YOY comp'!F234</f>
        <v>0</v>
      </c>
      <c r="G226" s="47">
        <f>'FY21 w YOY comp'!G234</f>
        <v>0</v>
      </c>
      <c r="H226" s="22">
        <f>'FY21 w YOY comp'!I234</f>
        <v>500</v>
      </c>
      <c r="I226" s="22">
        <f>'FY21 w YOY comp'!H234</f>
        <v>0</v>
      </c>
      <c r="J226" s="24">
        <f>'FY21 w YOY comp'!K234</f>
        <v>1512.63</v>
      </c>
      <c r="K226" s="1">
        <f>'FY21 w YOY comp'!O234</f>
        <v>0</v>
      </c>
      <c r="L226" s="1">
        <f>'FY21 w YOY comp'!P234</f>
        <v>0</v>
      </c>
      <c r="M226" s="1">
        <f>'FY21 w YOY comp'!Q234</f>
        <v>0</v>
      </c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hidden="1" customHeight="1" x14ac:dyDescent="0.25">
      <c r="A227" s="46" t="str">
        <f>'FY21 w YOY comp'!A235</f>
        <v xml:space="preserve">         5444 Lights</v>
      </c>
      <c r="B227" s="21">
        <f>'FY21 w YOY comp'!B235</f>
        <v>0</v>
      </c>
      <c r="C227" s="21">
        <f>'FY21 w YOY comp'!C235</f>
        <v>0</v>
      </c>
      <c r="D227" s="21">
        <f>'FY21 w YOY comp'!D235</f>
        <v>0</v>
      </c>
      <c r="E227" s="47">
        <f>'FY21 w YOY comp'!E235</f>
        <v>0</v>
      </c>
      <c r="F227" s="47">
        <f>'FY21 w YOY comp'!F235</f>
        <v>0</v>
      </c>
      <c r="G227" s="47">
        <f>'FY21 w YOY comp'!G235</f>
        <v>0</v>
      </c>
      <c r="H227" s="22">
        <f>'FY21 w YOY comp'!I235</f>
        <v>500</v>
      </c>
      <c r="I227" s="22">
        <f>'FY21 w YOY comp'!H235</f>
        <v>0</v>
      </c>
      <c r="J227" s="24">
        <f>'FY21 w YOY comp'!K235</f>
        <v>1512.63</v>
      </c>
      <c r="K227" s="1">
        <f>'FY21 w YOY comp'!O235</f>
        <v>0</v>
      </c>
      <c r="L227" s="1">
        <f>'FY21 w YOY comp'!P235</f>
        <v>0</v>
      </c>
      <c r="M227" s="1">
        <f>'FY21 w YOY comp'!Q235</f>
        <v>0</v>
      </c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hidden="1" customHeight="1" x14ac:dyDescent="0.25">
      <c r="A228" s="46" t="str">
        <f>'FY21 w YOY comp'!A236</f>
        <v xml:space="preserve">         5445 Equipment Replacement Fund</v>
      </c>
      <c r="B228" s="21">
        <f>'FY21 w YOY comp'!B236</f>
        <v>0</v>
      </c>
      <c r="C228" s="21">
        <f>'FY21 w YOY comp'!C236</f>
        <v>0</v>
      </c>
      <c r="D228" s="21">
        <f>'FY21 w YOY comp'!D236</f>
        <v>0</v>
      </c>
      <c r="E228" s="47">
        <f>'FY21 w YOY comp'!E236</f>
        <v>0</v>
      </c>
      <c r="F228" s="47">
        <f>'FY21 w YOY comp'!F236</f>
        <v>0</v>
      </c>
      <c r="G228" s="47">
        <f>'FY21 w YOY comp'!G236</f>
        <v>0</v>
      </c>
      <c r="H228" s="22">
        <f>'FY21 w YOY comp'!I236</f>
        <v>500</v>
      </c>
      <c r="I228" s="22">
        <f>'FY21 w YOY comp'!H236</f>
        <v>0</v>
      </c>
      <c r="J228" s="24">
        <f>'FY21 w YOY comp'!K236</f>
        <v>1512.63</v>
      </c>
      <c r="K228" s="1">
        <f>'FY21 w YOY comp'!O236</f>
        <v>0</v>
      </c>
      <c r="L228" s="1">
        <f>'FY21 w YOY comp'!P236</f>
        <v>0</v>
      </c>
      <c r="M228" s="1">
        <f>'FY21 w YOY comp'!Q236</f>
        <v>0</v>
      </c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hidden="1" customHeight="1" x14ac:dyDescent="0.25">
      <c r="A229" s="122" t="str">
        <f>'FY21 w YOY comp'!A237</f>
        <v xml:space="preserve">      Total 5440 Worship Technology</v>
      </c>
      <c r="B229" s="178">
        <f>'FY21 w YOY comp'!B237</f>
        <v>0</v>
      </c>
      <c r="C229" s="178">
        <f>'FY21 w YOY comp'!C237</f>
        <v>0</v>
      </c>
      <c r="D229" s="178">
        <f>'FY21 w YOY comp'!D237</f>
        <v>0</v>
      </c>
      <c r="E229" s="178">
        <f>'FY21 w YOY comp'!E237</f>
        <v>19.809999999999999</v>
      </c>
      <c r="F229" s="178">
        <f>'FY21 w YOY comp'!F237</f>
        <v>319.8</v>
      </c>
      <c r="G229" s="178">
        <f>'FY21 w YOY comp'!G237</f>
        <v>299.99</v>
      </c>
      <c r="H229" s="178">
        <f>'FY21 w YOY comp'!I237</f>
        <v>3000</v>
      </c>
      <c r="I229" s="178">
        <f>'FY21 w YOY comp'!H237</f>
        <v>299.99</v>
      </c>
      <c r="J229" s="180">
        <f>'FY21 w YOY comp'!K237</f>
        <v>6050.52</v>
      </c>
      <c r="K229" s="131">
        <f>'FY21 w YOY comp'!O237</f>
        <v>0</v>
      </c>
      <c r="L229" s="131">
        <f>'FY21 w YOY comp'!P237</f>
        <v>0</v>
      </c>
      <c r="M229" s="131">
        <f>'FY21 w YOY comp'!Q237</f>
        <v>0</v>
      </c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131"/>
      <c r="AA229" s="131"/>
    </row>
    <row r="230" spans="1:27" ht="15.75" hidden="1" customHeight="1" x14ac:dyDescent="0.25">
      <c r="A230" s="122" t="str">
        <f>'FY21 w YOY comp'!A238</f>
        <v xml:space="preserve">      5450 Music Leader Training</v>
      </c>
      <c r="B230" s="125">
        <f>'FY21 w YOY comp'!B238</f>
        <v>0</v>
      </c>
      <c r="C230" s="125">
        <f>'FY21 w YOY comp'!C238</f>
        <v>0</v>
      </c>
      <c r="D230" s="125">
        <f>'FY21 w YOY comp'!D238</f>
        <v>0</v>
      </c>
      <c r="E230" s="125">
        <f>'FY21 w YOY comp'!E238</f>
        <v>0</v>
      </c>
      <c r="F230" s="124">
        <f>'FY21 w YOY comp'!F238</f>
        <v>0</v>
      </c>
      <c r="G230" s="125">
        <f>'FY21 w YOY comp'!G238</f>
        <v>0</v>
      </c>
      <c r="H230" s="124">
        <f>'FY21 w YOY comp'!I238</f>
        <v>0</v>
      </c>
      <c r="I230" s="124">
        <f>'FY21 w YOY comp'!H238</f>
        <v>0</v>
      </c>
      <c r="J230" s="127">
        <f>'FY21 w YOY comp'!K238</f>
        <v>0</v>
      </c>
      <c r="K230" s="131">
        <f>'FY21 w YOY comp'!O238</f>
        <v>0</v>
      </c>
      <c r="L230" s="131">
        <f>'FY21 w YOY comp'!P238</f>
        <v>0</v>
      </c>
      <c r="M230" s="131">
        <f>'FY21 w YOY comp'!Q238</f>
        <v>0</v>
      </c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  <c r="AA230" s="131"/>
    </row>
    <row r="231" spans="1:27" ht="15.75" customHeight="1" x14ac:dyDescent="0.25">
      <c r="A231" s="217" t="str">
        <f>'FY21 w YOY comp'!A239</f>
        <v xml:space="preserve">   Total 5400 Music</v>
      </c>
      <c r="B231" s="218">
        <f>'FY21 w YOY comp'!B239</f>
        <v>992</v>
      </c>
      <c r="C231" s="218">
        <f>'FY21 w YOY comp'!C239</f>
        <v>1009</v>
      </c>
      <c r="D231" s="218">
        <f>'FY21 w YOY comp'!D239</f>
        <v>509</v>
      </c>
      <c r="E231" s="218">
        <f>'FY21 w YOY comp'!E239</f>
        <v>789.81</v>
      </c>
      <c r="F231" s="218">
        <f>'FY21 w YOY comp'!F239</f>
        <v>1158.8</v>
      </c>
      <c r="G231" s="218">
        <f>'FY21 w YOY comp'!G239</f>
        <v>1559.99</v>
      </c>
      <c r="H231" s="218">
        <f>'FY21 w YOY comp'!I239</f>
        <v>4035</v>
      </c>
      <c r="I231" s="218">
        <f>'FY21 w YOY comp'!H239</f>
        <v>1559.99</v>
      </c>
      <c r="J231" s="220">
        <f>'FY21 w YOY comp'!K239</f>
        <v>7414.52</v>
      </c>
      <c r="K231" s="224">
        <f>'FY21 w YOY comp'!O239</f>
        <v>0</v>
      </c>
      <c r="L231" s="224">
        <f>'FY21 w YOY comp'!P239</f>
        <v>0</v>
      </c>
      <c r="M231" s="224">
        <f>'FY21 w YOY comp'!Q239</f>
        <v>0</v>
      </c>
      <c r="N231" s="224"/>
      <c r="O231" s="224"/>
      <c r="P231" s="224"/>
      <c r="Q231" s="224"/>
      <c r="R231" s="224"/>
      <c r="S231" s="224"/>
      <c r="T231" s="224"/>
      <c r="U231" s="224"/>
      <c r="V231" s="224"/>
      <c r="W231" s="224"/>
      <c r="X231" s="224"/>
      <c r="Y231" s="224"/>
      <c r="Z231" s="224"/>
      <c r="AA231" s="224"/>
    </row>
    <row r="232" spans="1:27" ht="15.75" hidden="1" customHeight="1" x14ac:dyDescent="0.25">
      <c r="A232" s="20">
        <f>'FY21 w YOY comp'!A240</f>
        <v>0</v>
      </c>
      <c r="B232" s="47">
        <f>'FY21 w YOY comp'!B240</f>
        <v>0</v>
      </c>
      <c r="C232" s="21">
        <f>'FY21 w YOY comp'!C240</f>
        <v>0</v>
      </c>
      <c r="D232" s="21">
        <f>'FY21 w YOY comp'!D240</f>
        <v>0</v>
      </c>
      <c r="E232" s="21">
        <f>'FY21 w YOY comp'!E240</f>
        <v>0</v>
      </c>
      <c r="F232" s="22">
        <f>'FY21 w YOY comp'!F240</f>
        <v>0</v>
      </c>
      <c r="G232" s="21">
        <f>'FY21 w YOY comp'!G240</f>
        <v>0</v>
      </c>
      <c r="H232" s="22">
        <f>'FY21 w YOY comp'!I240</f>
        <v>0</v>
      </c>
      <c r="I232" s="22">
        <f>'FY21 w YOY comp'!H240</f>
        <v>0</v>
      </c>
      <c r="J232" s="24">
        <f>'FY21 w YOY comp'!K240</f>
        <v>0</v>
      </c>
      <c r="K232" s="1">
        <f>'FY21 w YOY comp'!O240</f>
        <v>0</v>
      </c>
      <c r="L232" s="1">
        <f>'FY21 w YOY comp'!P240</f>
        <v>0</v>
      </c>
      <c r="M232" s="1">
        <f>'FY21 w YOY comp'!Q240</f>
        <v>0</v>
      </c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hidden="1" customHeight="1" x14ac:dyDescent="0.25">
      <c r="A233" s="122" t="str">
        <f>'FY21 w YOY comp'!A241</f>
        <v xml:space="preserve">   5500 Outreach</v>
      </c>
      <c r="B233" s="123">
        <f>'FY21 w YOY comp'!B241</f>
        <v>29</v>
      </c>
      <c r="C233" s="125">
        <f>'FY21 w YOY comp'!C241</f>
        <v>0</v>
      </c>
      <c r="D233" s="125">
        <f>'FY21 w YOY comp'!D241</f>
        <v>0</v>
      </c>
      <c r="E233" s="125">
        <f>'FY21 w YOY comp'!E241</f>
        <v>0</v>
      </c>
      <c r="F233" s="124">
        <f>'FY21 w YOY comp'!F241</f>
        <v>0</v>
      </c>
      <c r="G233" s="125">
        <f>'FY21 w YOY comp'!G241</f>
        <v>0</v>
      </c>
      <c r="H233" s="124">
        <f>'FY21 w YOY comp'!I241</f>
        <v>0</v>
      </c>
      <c r="I233" s="124">
        <f>'FY21 w YOY comp'!H241</f>
        <v>0</v>
      </c>
      <c r="J233" s="127">
        <f>'FY21 w YOY comp'!K241</f>
        <v>0</v>
      </c>
      <c r="K233" s="131">
        <f>'FY21 w YOY comp'!O241</f>
        <v>0</v>
      </c>
      <c r="L233" s="131">
        <f>'FY21 w YOY comp'!P241</f>
        <v>0</v>
      </c>
      <c r="M233" s="131">
        <f>'FY21 w YOY comp'!Q241</f>
        <v>0</v>
      </c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1"/>
      <c r="Z233" s="131"/>
      <c r="AA233" s="131"/>
    </row>
    <row r="234" spans="1:27" ht="15.75" hidden="1" customHeight="1" x14ac:dyDescent="0.25">
      <c r="A234" s="122" t="str">
        <f>'FY21 w YOY comp'!A242</f>
        <v xml:space="preserve">      5510 Direct Mail</v>
      </c>
      <c r="B234" s="125">
        <f>'FY21 w YOY comp'!B242</f>
        <v>0</v>
      </c>
      <c r="C234" s="125">
        <f>'FY21 w YOY comp'!C242</f>
        <v>0</v>
      </c>
      <c r="D234" s="125">
        <f>'FY21 w YOY comp'!D242</f>
        <v>0</v>
      </c>
      <c r="E234" s="125">
        <f>'FY21 w YOY comp'!E242</f>
        <v>0</v>
      </c>
      <c r="F234" s="124">
        <f>'FY21 w YOY comp'!F242</f>
        <v>0</v>
      </c>
      <c r="G234" s="125">
        <f>'FY21 w YOY comp'!G242</f>
        <v>0</v>
      </c>
      <c r="H234" s="124">
        <f>'FY21 w YOY comp'!I242</f>
        <v>0</v>
      </c>
      <c r="I234" s="124">
        <f>'FY21 w YOY comp'!H242</f>
        <v>0</v>
      </c>
      <c r="J234" s="127">
        <f>'FY21 w YOY comp'!K242</f>
        <v>0</v>
      </c>
      <c r="K234" s="131">
        <f>'FY21 w YOY comp'!O242</f>
        <v>0</v>
      </c>
      <c r="L234" s="131">
        <f>'FY21 w YOY comp'!P242</f>
        <v>0</v>
      </c>
      <c r="M234" s="131">
        <f>'FY21 w YOY comp'!Q242</f>
        <v>0</v>
      </c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  <c r="AA234" s="131"/>
    </row>
    <row r="235" spans="1:27" ht="15.75" hidden="1" customHeight="1" x14ac:dyDescent="0.25">
      <c r="A235" s="122" t="str">
        <f>'FY21 w YOY comp'!A243</f>
        <v xml:space="preserve">      5515 Advertising</v>
      </c>
      <c r="B235" s="123">
        <f>'FY21 w YOY comp'!B243</f>
        <v>43.74</v>
      </c>
      <c r="C235" s="123">
        <f>'FY21 w YOY comp'!C243</f>
        <v>155.88</v>
      </c>
      <c r="D235" s="123">
        <f>'FY21 w YOY comp'!D243</f>
        <v>50</v>
      </c>
      <c r="E235" s="123">
        <f>'FY21 w YOY comp'!E243</f>
        <v>53.19</v>
      </c>
      <c r="F235" s="123">
        <f>'FY21 w YOY comp'!F243</f>
        <v>100</v>
      </c>
      <c r="G235" s="123">
        <f>'FY21 w YOY comp'!G243</f>
        <v>100</v>
      </c>
      <c r="H235" s="124">
        <f>'FY21 w YOY comp'!I243</f>
        <v>100</v>
      </c>
      <c r="I235" s="124">
        <f>'FY21 w YOY comp'!H243</f>
        <v>100</v>
      </c>
      <c r="J235" s="127">
        <f>'FY21 w YOY comp'!K243</f>
        <v>300</v>
      </c>
      <c r="K235" s="131" t="str">
        <f>'FY21 w YOY comp'!O243</f>
        <v>quarterly FB post boost @$50/each,  additional special events FB boost @$50/each</v>
      </c>
      <c r="L235" s="131">
        <f>'FY21 w YOY comp'!P243</f>
        <v>0</v>
      </c>
      <c r="M235" s="131">
        <f>'FY21 w YOY comp'!Q243</f>
        <v>0</v>
      </c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  <c r="AA235" s="131"/>
    </row>
    <row r="236" spans="1:27" ht="15.75" hidden="1" customHeight="1" x14ac:dyDescent="0.25">
      <c r="A236" s="46" t="str">
        <f>'FY21 w YOY comp'!A244</f>
        <v xml:space="preserve">      5520 Events</v>
      </c>
      <c r="B236" s="47">
        <f>'FY21 w YOY comp'!B244</f>
        <v>392.23</v>
      </c>
      <c r="C236" s="47">
        <f>'FY21 w YOY comp'!C244</f>
        <v>610.16999999999996</v>
      </c>
      <c r="D236" s="47">
        <f>'FY21 w YOY comp'!D244</f>
        <v>759.66</v>
      </c>
      <c r="E236" s="47">
        <f>'FY21 w YOY comp'!E244</f>
        <v>3831.51</v>
      </c>
      <c r="F236" s="47">
        <f>'FY21 w YOY comp'!F244</f>
        <v>244.48</v>
      </c>
      <c r="G236" s="21">
        <f>'FY21 w YOY comp'!G244</f>
        <v>396.36</v>
      </c>
      <c r="H236" s="22">
        <f>'FY21 w YOY comp'!I244</f>
        <v>0</v>
      </c>
      <c r="I236" s="22">
        <f>'FY21 w YOY comp'!H244</f>
        <v>396.36</v>
      </c>
      <c r="J236" s="24">
        <f>'FY21 w YOY comp'!K244</f>
        <v>0</v>
      </c>
      <c r="K236" s="1">
        <f>'FY21 w YOY comp'!O244</f>
        <v>0</v>
      </c>
      <c r="L236" s="1">
        <f>'FY21 w YOY comp'!P244</f>
        <v>0</v>
      </c>
      <c r="M236" s="1">
        <f>'FY21 w YOY comp'!Q244</f>
        <v>0</v>
      </c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hidden="1" customHeight="1" x14ac:dyDescent="0.25">
      <c r="A237" s="46" t="str">
        <f>'FY21 w YOY comp'!A245</f>
        <v xml:space="preserve">         5521 Joy Thrift</v>
      </c>
      <c r="B237" s="21">
        <f>'FY21 w YOY comp'!B245</f>
        <v>0</v>
      </c>
      <c r="C237" s="21">
        <f>'FY21 w YOY comp'!C245</f>
        <v>0</v>
      </c>
      <c r="D237" s="21">
        <f>'FY21 w YOY comp'!D245</f>
        <v>0</v>
      </c>
      <c r="E237" s="21">
        <f>'FY21 w YOY comp'!E245</f>
        <v>0</v>
      </c>
      <c r="F237" s="47">
        <f>'FY21 w YOY comp'!F245</f>
        <v>0</v>
      </c>
      <c r="G237" s="47">
        <f>'FY21 w YOY comp'!G245</f>
        <v>0</v>
      </c>
      <c r="H237" s="22">
        <f>'FY21 w YOY comp'!I245</f>
        <v>500</v>
      </c>
      <c r="I237" s="22">
        <f>'FY21 w YOY comp'!H245</f>
        <v>0</v>
      </c>
      <c r="J237" s="24">
        <f>'FY21 w YOY comp'!K245</f>
        <v>0</v>
      </c>
      <c r="K237" s="1">
        <f>'FY21 w YOY comp'!O245</f>
        <v>0</v>
      </c>
      <c r="L237" s="1">
        <f>'FY21 w YOY comp'!P245</f>
        <v>0</v>
      </c>
      <c r="M237" s="1">
        <f>'FY21 w YOY comp'!Q245</f>
        <v>0</v>
      </c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hidden="1" customHeight="1" x14ac:dyDescent="0.25">
      <c r="A238" s="46" t="str">
        <f>'FY21 w YOY comp'!A246</f>
        <v xml:space="preserve">         5522 Christmas by Candlelight</v>
      </c>
      <c r="B238" s="21">
        <f>'FY21 w YOY comp'!B246</f>
        <v>0</v>
      </c>
      <c r="C238" s="21">
        <f>'FY21 w YOY comp'!C246</f>
        <v>0</v>
      </c>
      <c r="D238" s="21">
        <f>'FY21 w YOY comp'!D246</f>
        <v>0</v>
      </c>
      <c r="E238" s="21">
        <f>'FY21 w YOY comp'!E246</f>
        <v>0</v>
      </c>
      <c r="F238" s="47">
        <f>'FY21 w YOY comp'!F246</f>
        <v>0</v>
      </c>
      <c r="G238" s="47">
        <f>'FY21 w YOY comp'!G246</f>
        <v>0</v>
      </c>
      <c r="H238" s="22">
        <f>'FY21 w YOY comp'!I246</f>
        <v>600</v>
      </c>
      <c r="I238" s="22">
        <f>'FY21 w YOY comp'!H246</f>
        <v>0</v>
      </c>
      <c r="J238" s="24">
        <f>'FY21 w YOY comp'!K246</f>
        <v>500</v>
      </c>
      <c r="K238" s="1">
        <f>'FY21 w YOY comp'!O246</f>
        <v>0</v>
      </c>
      <c r="L238" s="1">
        <f>'FY21 w YOY comp'!P246</f>
        <v>0</v>
      </c>
      <c r="M238" s="1">
        <f>'FY21 w YOY comp'!Q246</f>
        <v>0</v>
      </c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hidden="1" customHeight="1" x14ac:dyDescent="0.25">
      <c r="A239" s="46" t="str">
        <f>'FY21 w YOY comp'!A247</f>
        <v xml:space="preserve">         5523 Easter Egg Hunt</v>
      </c>
      <c r="B239" s="21">
        <f>'FY21 w YOY comp'!B247</f>
        <v>0</v>
      </c>
      <c r="C239" s="21">
        <f>'FY21 w YOY comp'!C247</f>
        <v>0</v>
      </c>
      <c r="D239" s="21">
        <f>'FY21 w YOY comp'!D247</f>
        <v>0</v>
      </c>
      <c r="E239" s="21">
        <f>'FY21 w YOY comp'!E247</f>
        <v>0</v>
      </c>
      <c r="F239" s="47">
        <f>'FY21 w YOY comp'!F247</f>
        <v>0</v>
      </c>
      <c r="G239" s="47">
        <f>'FY21 w YOY comp'!G247</f>
        <v>0</v>
      </c>
      <c r="H239" s="22">
        <f>'FY21 w YOY comp'!I247</f>
        <v>500</v>
      </c>
      <c r="I239" s="22">
        <f>'FY21 w YOY comp'!H247</f>
        <v>0</v>
      </c>
      <c r="J239" s="24">
        <f>'FY21 w YOY comp'!K247</f>
        <v>500</v>
      </c>
      <c r="K239" s="1">
        <f>'FY21 w YOY comp'!O247</f>
        <v>0</v>
      </c>
      <c r="L239" s="1">
        <f>'FY21 w YOY comp'!P247</f>
        <v>0</v>
      </c>
      <c r="M239" s="1">
        <f>'FY21 w YOY comp'!Q247</f>
        <v>0</v>
      </c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hidden="1" customHeight="1" x14ac:dyDescent="0.25">
      <c r="A240" s="46" t="str">
        <f>'FY21 w YOY comp'!A248</f>
        <v xml:space="preserve">         5524 Summer Event</v>
      </c>
      <c r="B240" s="21">
        <f>'FY21 w YOY comp'!B248</f>
        <v>0</v>
      </c>
      <c r="C240" s="21">
        <f>'FY21 w YOY comp'!C248</f>
        <v>0</v>
      </c>
      <c r="D240" s="21">
        <f>'FY21 w YOY comp'!D248</f>
        <v>0</v>
      </c>
      <c r="E240" s="21">
        <f>'FY21 w YOY comp'!E248</f>
        <v>0</v>
      </c>
      <c r="F240" s="47">
        <f>'FY21 w YOY comp'!F248</f>
        <v>30.2</v>
      </c>
      <c r="G240" s="47">
        <f>'FY21 w YOY comp'!G248</f>
        <v>30.2</v>
      </c>
      <c r="H240" s="22">
        <f>'FY21 w YOY comp'!I248</f>
        <v>30</v>
      </c>
      <c r="I240" s="22">
        <f>'FY21 w YOY comp'!H248</f>
        <v>30.2</v>
      </c>
      <c r="J240" s="24">
        <f>'FY21 w YOY comp'!K248</f>
        <v>1500</v>
      </c>
      <c r="K240" s="1" t="str">
        <f>'FY21 w YOY comp'!O248</f>
        <v>Food Trucks through Summer events - $500/truck x 3 times</v>
      </c>
      <c r="L240" s="1">
        <f>'FY21 w YOY comp'!P248</f>
        <v>0</v>
      </c>
      <c r="M240" s="1">
        <f>'FY21 w YOY comp'!Q248</f>
        <v>0</v>
      </c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hidden="1" customHeight="1" x14ac:dyDescent="0.25">
      <c r="A241" s="122" t="str">
        <f>'FY21 w YOY comp'!A250</f>
        <v xml:space="preserve">      Total 5520 Events</v>
      </c>
      <c r="B241" s="178">
        <f>'FY21 w YOY comp'!B250</f>
        <v>392.23</v>
      </c>
      <c r="C241" s="178">
        <f>'FY21 w YOY comp'!C250</f>
        <v>610.16999999999996</v>
      </c>
      <c r="D241" s="178">
        <f>'FY21 w YOY comp'!D250</f>
        <v>759.66</v>
      </c>
      <c r="E241" s="178">
        <f>'FY21 w YOY comp'!E250</f>
        <v>3831.51</v>
      </c>
      <c r="F241" s="178">
        <f>'FY21 w YOY comp'!F250</f>
        <v>274.68</v>
      </c>
      <c r="G241" s="178">
        <f>'FY21 w YOY comp'!G250</f>
        <v>426.56</v>
      </c>
      <c r="H241" s="178">
        <f>'FY21 w YOY comp'!I250</f>
        <v>1630</v>
      </c>
      <c r="I241" s="178">
        <f>'FY21 w YOY comp'!H250</f>
        <v>426.56</v>
      </c>
      <c r="J241" s="180">
        <f>'FY21 w YOY comp'!K250</f>
        <v>2500</v>
      </c>
      <c r="K241" s="131">
        <f>'FY21 w YOY comp'!O250</f>
        <v>0</v>
      </c>
      <c r="L241" s="131">
        <f>'FY21 w YOY comp'!P250</f>
        <v>0</v>
      </c>
      <c r="M241" s="131">
        <f>'FY21 w YOY comp'!Q250</f>
        <v>0</v>
      </c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131"/>
      <c r="AA241" s="131"/>
    </row>
    <row r="242" spans="1:27" ht="15.75" hidden="1" customHeight="1" x14ac:dyDescent="0.25">
      <c r="A242" s="122" t="str">
        <f>'FY21 w YOY comp'!A251</f>
        <v xml:space="preserve">      5526 Printing</v>
      </c>
      <c r="B242" s="125">
        <f>'FY21 w YOY comp'!B251</f>
        <v>0</v>
      </c>
      <c r="C242" s="125">
        <f>'FY21 w YOY comp'!C251</f>
        <v>0</v>
      </c>
      <c r="D242" s="125">
        <f>'FY21 w YOY comp'!D251</f>
        <v>0</v>
      </c>
      <c r="E242" s="125">
        <f>'FY21 w YOY comp'!E251</f>
        <v>0</v>
      </c>
      <c r="F242" s="124">
        <f>'FY21 w YOY comp'!F251</f>
        <v>0</v>
      </c>
      <c r="G242" s="125">
        <f>'FY21 w YOY comp'!G251</f>
        <v>0</v>
      </c>
      <c r="H242" s="124">
        <f>'FY21 w YOY comp'!I251</f>
        <v>0</v>
      </c>
      <c r="I242" s="124">
        <f>'FY21 w YOY comp'!H251</f>
        <v>0</v>
      </c>
      <c r="J242" s="127">
        <f>'FY21 w YOY comp'!K251</f>
        <v>0</v>
      </c>
      <c r="K242" s="131">
        <f>'FY21 w YOY comp'!O251</f>
        <v>0</v>
      </c>
      <c r="L242" s="131">
        <f>'FY21 w YOY comp'!P251</f>
        <v>0</v>
      </c>
      <c r="M242" s="131">
        <f>'FY21 w YOY comp'!Q251</f>
        <v>0</v>
      </c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  <c r="AA242" s="131"/>
    </row>
    <row r="243" spans="1:27" ht="15.75" hidden="1" customHeight="1" x14ac:dyDescent="0.25">
      <c r="A243" s="122" t="str">
        <f>'FY21 w YOY comp'!A252</f>
        <v xml:space="preserve">      5530 Web Hosting &amp; Development</v>
      </c>
      <c r="B243" s="125">
        <f>'FY21 w YOY comp'!B252</f>
        <v>0</v>
      </c>
      <c r="C243" s="123">
        <f>'FY21 w YOY comp'!C252</f>
        <v>120</v>
      </c>
      <c r="D243" s="123">
        <f>'FY21 w YOY comp'!D252</f>
        <v>120</v>
      </c>
      <c r="E243" s="125">
        <f>'FY21 w YOY comp'!E252</f>
        <v>0</v>
      </c>
      <c r="F243" s="123">
        <f>'FY21 w YOY comp'!F252</f>
        <v>240</v>
      </c>
      <c r="G243" s="123">
        <f>'FY21 w YOY comp'!G252</f>
        <v>963.18</v>
      </c>
      <c r="H243" s="124">
        <f>'FY21 w YOY comp'!I252</f>
        <v>1700</v>
      </c>
      <c r="I243" s="124">
        <f>'FY21 w YOY comp'!H252</f>
        <v>963.18</v>
      </c>
      <c r="J243" s="127">
        <f>'FY21 w YOY comp'!K252</f>
        <v>216</v>
      </c>
      <c r="K243" s="290" t="str">
        <f>'FY21 w YOY comp'!O252</f>
        <v>$229/yr for SquareSpace (new web co)</v>
      </c>
      <c r="L243" s="131">
        <f>'FY21 w YOY comp'!P252</f>
        <v>0</v>
      </c>
      <c r="M243" s="131">
        <f>'FY21 w YOY comp'!Q252</f>
        <v>0</v>
      </c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  <c r="AA243" s="131"/>
    </row>
    <row r="244" spans="1:27" ht="15.75" hidden="1" customHeight="1" x14ac:dyDescent="0.25">
      <c r="A244" s="46" t="str">
        <f>'FY21 w YOY comp'!A253</f>
        <v xml:space="preserve">      5535 Seasonal Signage</v>
      </c>
      <c r="B244" s="21">
        <f>'FY21 w YOY comp'!B253</f>
        <v>0</v>
      </c>
      <c r="C244" s="21">
        <f>'FY21 w YOY comp'!C253</f>
        <v>0</v>
      </c>
      <c r="D244" s="21">
        <f>'FY21 w YOY comp'!D253</f>
        <v>0</v>
      </c>
      <c r="E244" s="21">
        <f>'FY21 w YOY comp'!E253</f>
        <v>0</v>
      </c>
      <c r="F244" s="47">
        <f>'FY21 w YOY comp'!F253</f>
        <v>81.11</v>
      </c>
      <c r="G244" s="47">
        <f>'FY21 w YOY comp'!G253</f>
        <v>314.31</v>
      </c>
      <c r="H244" s="22">
        <f>'FY21 w YOY comp'!I253</f>
        <v>0</v>
      </c>
      <c r="I244" s="22">
        <f>'FY21 w YOY comp'!H253</f>
        <v>314.31</v>
      </c>
      <c r="J244" s="24">
        <f>'FY21 w YOY comp'!K253</f>
        <v>1300</v>
      </c>
      <c r="K244" s="1" t="str">
        <f>'FY21 w YOY comp'!O253</f>
        <v>Christmas, Thrift shop donations, (not planning for VBS); yard sign project</v>
      </c>
      <c r="L244" s="1">
        <f>'FY21 w YOY comp'!P253</f>
        <v>0</v>
      </c>
      <c r="M244" s="1">
        <f>'FY21 w YOY comp'!Q253</f>
        <v>0</v>
      </c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hidden="1" customHeight="1" x14ac:dyDescent="0.25">
      <c r="A245" s="46" t="str">
        <f>'FY21 w YOY comp'!A254</f>
        <v xml:space="preserve">         5536 Signage Supplies &amp; Materials (deleted)</v>
      </c>
      <c r="B245" s="47">
        <f>'FY21 w YOY comp'!B254</f>
        <v>576.6</v>
      </c>
      <c r="C245" s="47">
        <f>'FY21 w YOY comp'!C254</f>
        <v>330.66</v>
      </c>
      <c r="D245" s="47">
        <f>'FY21 w YOY comp'!D254</f>
        <v>194.01</v>
      </c>
      <c r="E245" s="47">
        <f>'FY21 w YOY comp'!E254</f>
        <v>460.17</v>
      </c>
      <c r="F245" s="47">
        <f>'FY21 w YOY comp'!F254</f>
        <v>245.54</v>
      </c>
      <c r="G245" s="21">
        <f>'FY21 w YOY comp'!G254</f>
        <v>0</v>
      </c>
      <c r="H245" s="59">
        <f>'FY21 w YOY comp'!I254</f>
        <v>0</v>
      </c>
      <c r="I245" s="22">
        <f>'FY21 w YOY comp'!H254</f>
        <v>0</v>
      </c>
      <c r="J245" s="61">
        <f>'FY21 w YOY comp'!K254</f>
        <v>0</v>
      </c>
      <c r="K245" s="1">
        <f>'FY21 w YOY comp'!O254</f>
        <v>0</v>
      </c>
      <c r="L245" s="1">
        <f>'FY21 w YOY comp'!P254</f>
        <v>0</v>
      </c>
      <c r="M245" s="1">
        <f>'FY21 w YOY comp'!Q254</f>
        <v>0</v>
      </c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hidden="1" customHeight="1" x14ac:dyDescent="0.25">
      <c r="A246" s="122" t="str">
        <f>'FY21 w YOY comp'!A255</f>
        <v xml:space="preserve">      Total 5535 Seasonal Signage</v>
      </c>
      <c r="B246" s="178">
        <f>'FY21 w YOY comp'!B255</f>
        <v>576.6</v>
      </c>
      <c r="C246" s="178">
        <f>'FY21 w YOY comp'!C255</f>
        <v>330.66</v>
      </c>
      <c r="D246" s="178">
        <f>'FY21 w YOY comp'!D255</f>
        <v>194.01</v>
      </c>
      <c r="E246" s="178">
        <f>'FY21 w YOY comp'!E255</f>
        <v>460.17</v>
      </c>
      <c r="F246" s="178">
        <f>'FY21 w YOY comp'!F255</f>
        <v>326.64999999999998</v>
      </c>
      <c r="G246" s="178">
        <f>'FY21 w YOY comp'!G255</f>
        <v>314.31</v>
      </c>
      <c r="H246" s="178">
        <f>'FY21 w YOY comp'!I255</f>
        <v>350</v>
      </c>
      <c r="I246" s="178">
        <f>'FY21 w YOY comp'!H255</f>
        <v>314.31</v>
      </c>
      <c r="J246" s="180">
        <f>'FY21 w YOY comp'!K255</f>
        <v>1300</v>
      </c>
      <c r="K246" s="131">
        <f>'FY21 w YOY comp'!O255</f>
        <v>0</v>
      </c>
      <c r="L246" s="131">
        <f>'FY21 w YOY comp'!P255</f>
        <v>0</v>
      </c>
      <c r="M246" s="131">
        <f>'FY21 w YOY comp'!Q255</f>
        <v>0</v>
      </c>
      <c r="N246" s="131"/>
      <c r="O246" s="131"/>
      <c r="P246" s="131"/>
      <c r="Q246" s="131"/>
      <c r="R246" s="131"/>
      <c r="S246" s="131"/>
      <c r="T246" s="131"/>
      <c r="U246" s="131"/>
      <c r="V246" s="131"/>
      <c r="W246" s="131"/>
      <c r="X246" s="131"/>
      <c r="Y246" s="131"/>
      <c r="Z246" s="131"/>
      <c r="AA246" s="131"/>
    </row>
    <row r="247" spans="1:27" ht="15.75" hidden="1" customHeight="1" x14ac:dyDescent="0.25">
      <c r="A247" s="122" t="str">
        <f>'FY21 w YOY comp'!A256</f>
        <v xml:space="preserve">      5540 Visitor Packets</v>
      </c>
      <c r="B247" s="125">
        <f>'FY21 w YOY comp'!B256</f>
        <v>0</v>
      </c>
      <c r="C247" s="123">
        <f>'FY21 w YOY comp'!C256</f>
        <v>14.96</v>
      </c>
      <c r="D247" s="125">
        <f>'FY21 w YOY comp'!D256</f>
        <v>0</v>
      </c>
      <c r="E247" s="123">
        <f>'FY21 w YOY comp'!E256</f>
        <v>65</v>
      </c>
      <c r="F247" s="123">
        <f>'FY21 w YOY comp'!F256</f>
        <v>65</v>
      </c>
      <c r="G247" s="125">
        <f>'FY21 w YOY comp'!G256</f>
        <v>0</v>
      </c>
      <c r="H247" s="124">
        <f>'FY21 w YOY comp'!I256</f>
        <v>0</v>
      </c>
      <c r="I247" s="124">
        <f>'FY21 w YOY comp'!H256</f>
        <v>0</v>
      </c>
      <c r="J247" s="127">
        <f>'FY21 w YOY comp'!K256</f>
        <v>100</v>
      </c>
      <c r="K247" s="131" t="str">
        <f>'FY21 w YOY comp'!O256</f>
        <v>We currenty have 17 Starbucks $5 cards available; can order more during holidaty stocking stuffer sale to have on hand if needed</v>
      </c>
      <c r="L247" s="131">
        <f>'FY21 w YOY comp'!P256</f>
        <v>0</v>
      </c>
      <c r="M247" s="131">
        <f>'FY21 w YOY comp'!Q256</f>
        <v>0</v>
      </c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131"/>
      <c r="AA247" s="131"/>
    </row>
    <row r="248" spans="1:27" ht="15.75" hidden="1" customHeight="1" x14ac:dyDescent="0.25">
      <c r="A248" s="122" t="str">
        <f>'FY21 w YOY comp'!A257</f>
        <v xml:space="preserve">      5545 Tithely Mobile App Platform (deleted)</v>
      </c>
      <c r="B248" s="125">
        <f>'FY21 w YOY comp'!B257</f>
        <v>0</v>
      </c>
      <c r="C248" s="125">
        <f>'FY21 w YOY comp'!C257</f>
        <v>0</v>
      </c>
      <c r="D248" s="125">
        <f>'FY21 w YOY comp'!D257</f>
        <v>0</v>
      </c>
      <c r="E248" s="123">
        <f>'FY21 w YOY comp'!E257</f>
        <v>354</v>
      </c>
      <c r="F248" s="123">
        <f>'FY21 w YOY comp'!F257</f>
        <v>295</v>
      </c>
      <c r="G248" s="125">
        <f>'FY21 w YOY comp'!G257</f>
        <v>0</v>
      </c>
      <c r="H248" s="59">
        <f>'FY21 w YOY comp'!I257</f>
        <v>0</v>
      </c>
      <c r="I248" s="124">
        <f>'FY21 w YOY comp'!H257</f>
        <v>0</v>
      </c>
      <c r="J248" s="61">
        <f>'FY21 w YOY comp'!K257</f>
        <v>0</v>
      </c>
      <c r="K248" s="131">
        <f>'FY21 w YOY comp'!O257</f>
        <v>0</v>
      </c>
      <c r="L248" s="131">
        <f>'FY21 w YOY comp'!P257</f>
        <v>0</v>
      </c>
      <c r="M248" s="131">
        <f>'FY21 w YOY comp'!Q257</f>
        <v>0</v>
      </c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  <c r="AA248" s="131"/>
    </row>
    <row r="249" spans="1:27" ht="15.75" hidden="1" customHeight="1" x14ac:dyDescent="0.25">
      <c r="A249" s="46" t="str">
        <f>'FY21 w YOY comp'!A258</f>
        <v xml:space="preserve">      5550 LEAD Implementation</v>
      </c>
      <c r="B249" s="21">
        <f>'FY21 w YOY comp'!B258</f>
        <v>0</v>
      </c>
      <c r="C249" s="21">
        <f>'FY21 w YOY comp'!C258</f>
        <v>0</v>
      </c>
      <c r="D249" s="21">
        <f>'FY21 w YOY comp'!D258</f>
        <v>0</v>
      </c>
      <c r="E249" s="47">
        <f>'FY21 w YOY comp'!E258</f>
        <v>101.71</v>
      </c>
      <c r="F249" s="22">
        <f>'FY21 w YOY comp'!F258</f>
        <v>0</v>
      </c>
      <c r="G249" s="21">
        <f>'FY21 w YOY comp'!G258</f>
        <v>0</v>
      </c>
      <c r="H249" s="59">
        <f>'FY21 w YOY comp'!I258</f>
        <v>0</v>
      </c>
      <c r="I249" s="22">
        <f>'FY21 w YOY comp'!H258</f>
        <v>0</v>
      </c>
      <c r="J249" s="61">
        <f>'FY21 w YOY comp'!K258</f>
        <v>0</v>
      </c>
      <c r="K249" s="266">
        <f>'FY21 w YOY comp'!O258</f>
        <v>0</v>
      </c>
      <c r="L249" s="1">
        <f>'FY21 w YOY comp'!P258</f>
        <v>0</v>
      </c>
      <c r="M249" s="1">
        <f>'FY21 w YOY comp'!Q258</f>
        <v>0</v>
      </c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hidden="1" customHeight="1" x14ac:dyDescent="0.25">
      <c r="A250" s="46" t="str">
        <f>'FY21 w YOY comp'!A259</f>
        <v xml:space="preserve">         5555 Advocacy for Addiction &amp; Mental Health (deleted)</v>
      </c>
      <c r="B250" s="21">
        <f>'FY21 w YOY comp'!B259</f>
        <v>0</v>
      </c>
      <c r="C250" s="21">
        <f>'FY21 w YOY comp'!C259</f>
        <v>0</v>
      </c>
      <c r="D250" s="21">
        <f>'FY21 w YOY comp'!D259</f>
        <v>0</v>
      </c>
      <c r="E250" s="47">
        <f>'FY21 w YOY comp'!E259</f>
        <v>44.92</v>
      </c>
      <c r="F250" s="22">
        <f>'FY21 w YOY comp'!F259</f>
        <v>0</v>
      </c>
      <c r="G250" s="21">
        <f>'FY21 w YOY comp'!G259</f>
        <v>0</v>
      </c>
      <c r="H250" s="59">
        <f>'FY21 w YOY comp'!I259</f>
        <v>0</v>
      </c>
      <c r="I250" s="22">
        <f>'FY21 w YOY comp'!H259</f>
        <v>0</v>
      </c>
      <c r="J250" s="61">
        <f>'FY21 w YOY comp'!K259</f>
        <v>0</v>
      </c>
      <c r="K250" s="266">
        <f>'FY21 w YOY comp'!O259</f>
        <v>0</v>
      </c>
      <c r="L250" s="1">
        <f>'FY21 w YOY comp'!P259</f>
        <v>0</v>
      </c>
      <c r="M250" s="1">
        <f>'FY21 w YOY comp'!Q259</f>
        <v>0</v>
      </c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hidden="1" customHeight="1" x14ac:dyDescent="0.25">
      <c r="A251" s="46" t="str">
        <f>'FY21 w YOY comp'!A260</f>
        <v xml:space="preserve">         5556 Art Show, redesignated Recovery Rental Assistance</v>
      </c>
      <c r="B251" s="21">
        <f>'FY21 w YOY comp'!B260</f>
        <v>0</v>
      </c>
      <c r="C251" s="21">
        <f>'FY21 w YOY comp'!C260</f>
        <v>0</v>
      </c>
      <c r="D251" s="21">
        <f>'FY21 w YOY comp'!D260</f>
        <v>0</v>
      </c>
      <c r="E251" s="47">
        <f>'FY21 w YOY comp'!E260</f>
        <v>1012.01</v>
      </c>
      <c r="F251" s="47">
        <f>'FY21 w YOY comp'!F260</f>
        <v>1940</v>
      </c>
      <c r="G251" s="47">
        <f>'FY21 w YOY comp'!G260</f>
        <v>0</v>
      </c>
      <c r="H251" s="59">
        <f>'FY21 w YOY comp'!I260</f>
        <v>0</v>
      </c>
      <c r="I251" s="22">
        <f>'FY21 w YOY comp'!H260</f>
        <v>0</v>
      </c>
      <c r="J251" s="61">
        <f>'FY21 w YOY comp'!K260</f>
        <v>0</v>
      </c>
      <c r="K251" s="266">
        <f>'FY21 w YOY comp'!O260</f>
        <v>0</v>
      </c>
      <c r="L251" s="1">
        <f>'FY21 w YOY comp'!P260</f>
        <v>0</v>
      </c>
      <c r="M251" s="1">
        <f>'FY21 w YOY comp'!Q260</f>
        <v>0</v>
      </c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hidden="1" customHeight="1" x14ac:dyDescent="0.25">
      <c r="A252" s="46" t="str">
        <f>'FY21 w YOY comp'!A261</f>
        <v xml:space="preserve">         5559 Baby Pantry (deleted)</v>
      </c>
      <c r="B252" s="21">
        <f>'FY21 w YOY comp'!B261</f>
        <v>0</v>
      </c>
      <c r="C252" s="21">
        <f>'FY21 w YOY comp'!C261</f>
        <v>0</v>
      </c>
      <c r="D252" s="21">
        <f>'FY21 w YOY comp'!D261</f>
        <v>0</v>
      </c>
      <c r="E252" s="47">
        <f>'FY21 w YOY comp'!E261</f>
        <v>1186.76</v>
      </c>
      <c r="F252" s="47">
        <f>'FY21 w YOY comp'!F261</f>
        <v>987.16</v>
      </c>
      <c r="G252" s="21">
        <f>'FY21 w YOY comp'!G261</f>
        <v>0</v>
      </c>
      <c r="H252" s="59">
        <f>'FY21 w YOY comp'!I261</f>
        <v>0</v>
      </c>
      <c r="I252" s="22">
        <f>'FY21 w YOY comp'!H261</f>
        <v>0</v>
      </c>
      <c r="J252" s="61">
        <f>'FY21 w YOY comp'!K261</f>
        <v>0</v>
      </c>
      <c r="K252" s="266">
        <f>'FY21 w YOY comp'!O261</f>
        <v>0</v>
      </c>
      <c r="L252" s="1">
        <f>'FY21 w YOY comp'!P261</f>
        <v>0</v>
      </c>
      <c r="M252" s="1">
        <f>'FY21 w YOY comp'!Q261</f>
        <v>0</v>
      </c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hidden="1" customHeight="1" x14ac:dyDescent="0.25">
      <c r="A253" s="122" t="str">
        <f>'FY21 w YOY comp'!A262</f>
        <v xml:space="preserve">      Total 5550 LEAD Implementation</v>
      </c>
      <c r="B253" s="178">
        <f>'FY21 w YOY comp'!B262</f>
        <v>0</v>
      </c>
      <c r="C253" s="178">
        <f>'FY21 w YOY comp'!C262</f>
        <v>0</v>
      </c>
      <c r="D253" s="178">
        <f>'FY21 w YOY comp'!D262</f>
        <v>0</v>
      </c>
      <c r="E253" s="178">
        <f>'FY21 w YOY comp'!E262</f>
        <v>2345.3999999999996</v>
      </c>
      <c r="F253" s="178">
        <f>'FY21 w YOY comp'!F262</f>
        <v>2927.16</v>
      </c>
      <c r="G253" s="178">
        <f>'FY21 w YOY comp'!G262</f>
        <v>0</v>
      </c>
      <c r="H253" s="178">
        <f>'FY21 w YOY comp'!I262</f>
        <v>0</v>
      </c>
      <c r="I253" s="178">
        <f>'FY21 w YOY comp'!H262</f>
        <v>0</v>
      </c>
      <c r="J253" s="180">
        <f>'FY21 w YOY comp'!K262</f>
        <v>0</v>
      </c>
      <c r="K253" s="291">
        <f>'FY21 w YOY comp'!O262</f>
        <v>0</v>
      </c>
      <c r="L253" s="131">
        <f>'FY21 w YOY comp'!P262</f>
        <v>0</v>
      </c>
      <c r="M253" s="131">
        <f>'FY21 w YOY comp'!Q262</f>
        <v>0</v>
      </c>
      <c r="N253" s="131"/>
      <c r="O253" s="131"/>
      <c r="P253" s="131"/>
      <c r="Q253" s="131"/>
      <c r="R253" s="131"/>
      <c r="S253" s="131"/>
      <c r="T253" s="131"/>
      <c r="U253" s="131"/>
      <c r="V253" s="131"/>
      <c r="W253" s="131"/>
      <c r="X253" s="131"/>
      <c r="Y253" s="131"/>
      <c r="Z253" s="131"/>
      <c r="AA253" s="131"/>
    </row>
    <row r="254" spans="1:27" ht="15.75" hidden="1" customHeight="1" x14ac:dyDescent="0.25">
      <c r="A254" s="122" t="str">
        <f>'FY21 w YOY comp'!A263</f>
        <v xml:space="preserve">      5560 LEAD NCC expanded ministry</v>
      </c>
      <c r="B254" s="125">
        <f>'FY21 w YOY comp'!B263</f>
        <v>0</v>
      </c>
      <c r="C254" s="125">
        <f>'FY21 w YOY comp'!C263</f>
        <v>0</v>
      </c>
      <c r="D254" s="123">
        <f>'FY21 w YOY comp'!D263</f>
        <v>860</v>
      </c>
      <c r="E254" s="125">
        <f>'FY21 w YOY comp'!E263</f>
        <v>0</v>
      </c>
      <c r="F254" s="123">
        <f>'FY21 w YOY comp'!F263</f>
        <v>2850.24</v>
      </c>
      <c r="G254" s="123">
        <f>'FY21 w YOY comp'!G263</f>
        <v>-233.15</v>
      </c>
      <c r="H254" s="124">
        <f>'FY21 w YOY comp'!I263</f>
        <v>0</v>
      </c>
      <c r="I254" s="124">
        <f>'FY21 w YOY comp'!H263</f>
        <v>-310.86666666666667</v>
      </c>
      <c r="J254" s="127">
        <f>'FY21 w YOY comp'!K263</f>
        <v>0</v>
      </c>
      <c r="K254" s="291">
        <f>'FY21 w YOY comp'!O263</f>
        <v>0</v>
      </c>
      <c r="L254" s="131">
        <f>'FY21 w YOY comp'!P263</f>
        <v>0</v>
      </c>
      <c r="M254" s="131">
        <f>'FY21 w YOY comp'!Q263</f>
        <v>0</v>
      </c>
      <c r="N254" s="131"/>
      <c r="O254" s="131"/>
      <c r="P254" s="131"/>
      <c r="Q254" s="131"/>
      <c r="R254" s="131"/>
      <c r="S254" s="131"/>
      <c r="T254" s="131"/>
      <c r="U254" s="131"/>
      <c r="V254" s="131"/>
      <c r="W254" s="131"/>
      <c r="X254" s="131"/>
      <c r="Y254" s="131"/>
      <c r="Z254" s="131"/>
      <c r="AA254" s="131"/>
    </row>
    <row r="255" spans="1:27" ht="15.75" customHeight="1" x14ac:dyDescent="0.25">
      <c r="A255" s="217" t="str">
        <f>'FY21 w YOY comp'!A264</f>
        <v xml:space="preserve">   Total 5500 Outreach</v>
      </c>
      <c r="B255" s="218">
        <f>'FY21 w YOY comp'!B264</f>
        <v>1041.5700000000002</v>
      </c>
      <c r="C255" s="218">
        <f>'FY21 w YOY comp'!C264</f>
        <v>1231.67</v>
      </c>
      <c r="D255" s="218">
        <f>'FY21 w YOY comp'!D264</f>
        <v>1983.67</v>
      </c>
      <c r="E255" s="218">
        <f>'FY21 w YOY comp'!E264</f>
        <v>7109.27</v>
      </c>
      <c r="F255" s="218">
        <f>'FY21 w YOY comp'!F264</f>
        <v>7078.73</v>
      </c>
      <c r="G255" s="218">
        <f>'FY21 w YOY comp'!G264</f>
        <v>1804.05</v>
      </c>
      <c r="H255" s="218">
        <f>'FY21 w YOY comp'!I264</f>
        <v>3780</v>
      </c>
      <c r="I255" s="218">
        <f>'FY21 w YOY comp'!H264</f>
        <v>1804.05</v>
      </c>
      <c r="J255" s="220">
        <f>'FY21 w YOY comp'!K264</f>
        <v>4416</v>
      </c>
      <c r="K255" s="224">
        <f>'FY21 w YOY comp'!O264</f>
        <v>0</v>
      </c>
      <c r="L255" s="224">
        <f>'FY21 w YOY comp'!P264</f>
        <v>0</v>
      </c>
      <c r="M255" s="224">
        <f>'FY21 w YOY comp'!Q264</f>
        <v>0</v>
      </c>
      <c r="N255" s="224"/>
      <c r="O255" s="224"/>
      <c r="P255" s="224"/>
      <c r="Q255" s="224"/>
      <c r="R255" s="224"/>
      <c r="S255" s="224"/>
      <c r="T255" s="224"/>
      <c r="U255" s="224"/>
      <c r="V255" s="224"/>
      <c r="W255" s="224"/>
      <c r="X255" s="224"/>
      <c r="Y255" s="224"/>
      <c r="Z255" s="224"/>
      <c r="AA255" s="224"/>
    </row>
    <row r="256" spans="1:27" ht="15.75" hidden="1" customHeight="1" x14ac:dyDescent="0.25">
      <c r="A256" s="20">
        <f>'FY21 w YOY comp'!A265</f>
        <v>0</v>
      </c>
      <c r="B256" s="47">
        <f>'FY21 w YOY comp'!B265</f>
        <v>0</v>
      </c>
      <c r="C256" s="21">
        <f>'FY21 w YOY comp'!C265</f>
        <v>0</v>
      </c>
      <c r="D256" s="21">
        <f>'FY21 w YOY comp'!D265</f>
        <v>0</v>
      </c>
      <c r="E256" s="21">
        <f>'FY21 w YOY comp'!E265</f>
        <v>0</v>
      </c>
      <c r="F256" s="47">
        <f>'FY21 w YOY comp'!F265</f>
        <v>0</v>
      </c>
      <c r="G256" s="47">
        <f>'FY21 w YOY comp'!G265</f>
        <v>0</v>
      </c>
      <c r="H256" s="22">
        <f>'FY21 w YOY comp'!I265</f>
        <v>0</v>
      </c>
      <c r="I256" s="22">
        <f>'FY21 w YOY comp'!H265</f>
        <v>0</v>
      </c>
      <c r="J256" s="24">
        <f>'FY21 w YOY comp'!K265</f>
        <v>0</v>
      </c>
      <c r="K256" s="1">
        <f>'FY21 w YOY comp'!O265</f>
        <v>0</v>
      </c>
      <c r="L256" s="1">
        <f>'FY21 w YOY comp'!P265</f>
        <v>0</v>
      </c>
      <c r="M256" s="1">
        <f>'FY21 w YOY comp'!Q265</f>
        <v>0</v>
      </c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hidden="1" customHeight="1" x14ac:dyDescent="0.25">
      <c r="A257" s="122" t="str">
        <f>'FY21 w YOY comp'!A266</f>
        <v xml:space="preserve">   5600 Education-Growth</v>
      </c>
      <c r="B257" s="123">
        <f>'FY21 w YOY comp'!B266</f>
        <v>304.23</v>
      </c>
      <c r="C257" s="125">
        <f>'FY21 w YOY comp'!C266</f>
        <v>0</v>
      </c>
      <c r="D257" s="125">
        <f>'FY21 w YOY comp'!D266</f>
        <v>0</v>
      </c>
      <c r="E257" s="125">
        <f>'FY21 w YOY comp'!E266</f>
        <v>0</v>
      </c>
      <c r="F257" s="123">
        <f>'FY21 w YOY comp'!F266</f>
        <v>57.57</v>
      </c>
      <c r="G257" s="123">
        <f>'FY21 w YOY comp'!G266</f>
        <v>57.57</v>
      </c>
      <c r="H257" s="124">
        <f>'FY21 w YOY comp'!I266</f>
        <v>0</v>
      </c>
      <c r="I257" s="124">
        <f>'FY21 w YOY comp'!H266</f>
        <v>57.57</v>
      </c>
      <c r="J257" s="127">
        <f>'FY21 w YOY comp'!K266</f>
        <v>0</v>
      </c>
      <c r="K257" s="131">
        <f>'FY21 w YOY comp'!O266</f>
        <v>0</v>
      </c>
      <c r="L257" s="131">
        <f>'FY21 w YOY comp'!P266</f>
        <v>0</v>
      </c>
      <c r="M257" s="131">
        <f>'FY21 w YOY comp'!Q266</f>
        <v>0</v>
      </c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  <c r="AA257" s="131"/>
    </row>
    <row r="258" spans="1:27" ht="15.75" hidden="1" customHeight="1" x14ac:dyDescent="0.25">
      <c r="A258" s="122" t="str">
        <f>'FY21 w YOY comp'!A267</f>
        <v xml:space="preserve">      5605 Household Huddle Sunday School (deleted)</v>
      </c>
      <c r="B258" s="125">
        <f>'FY21 w YOY comp'!B267</f>
        <v>0</v>
      </c>
      <c r="C258" s="123">
        <f>'FY21 w YOY comp'!C267</f>
        <v>323.89</v>
      </c>
      <c r="D258" s="123">
        <f>'FY21 w YOY comp'!D267</f>
        <v>193.69</v>
      </c>
      <c r="E258" s="125">
        <f>'FY21 w YOY comp'!E267</f>
        <v>0</v>
      </c>
      <c r="F258" s="124">
        <f>'FY21 w YOY comp'!F267</f>
        <v>0</v>
      </c>
      <c r="G258" s="125">
        <f>'FY21 w YOY comp'!G267</f>
        <v>0</v>
      </c>
      <c r="H258" s="22">
        <f>'FY21 w YOY comp'!I267</f>
        <v>0</v>
      </c>
      <c r="I258" s="124">
        <f>'FY21 w YOY comp'!H267</f>
        <v>0</v>
      </c>
      <c r="J258" s="61">
        <f>'FY21 w YOY comp'!K267</f>
        <v>0</v>
      </c>
      <c r="K258" s="131">
        <f>'FY21 w YOY comp'!O267</f>
        <v>0</v>
      </c>
      <c r="L258" s="131">
        <f>'FY21 w YOY comp'!P267</f>
        <v>0</v>
      </c>
      <c r="M258" s="131">
        <f>'FY21 w YOY comp'!Q267</f>
        <v>0</v>
      </c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  <c r="Z258" s="131"/>
      <c r="AA258" s="131"/>
    </row>
    <row r="259" spans="1:27" ht="15.75" hidden="1" customHeight="1" x14ac:dyDescent="0.25">
      <c r="A259" s="46" t="str">
        <f>'FY21 w YOY comp'!A268</f>
        <v xml:space="preserve">      5610 Adult</v>
      </c>
      <c r="B259" s="47">
        <f>'FY21 w YOY comp'!B268</f>
        <v>127.55</v>
      </c>
      <c r="C259" s="21">
        <f>'FY21 w YOY comp'!C268</f>
        <v>0</v>
      </c>
      <c r="D259" s="21">
        <f>'FY21 w YOY comp'!D268</f>
        <v>0</v>
      </c>
      <c r="E259" s="21">
        <f>'FY21 w YOY comp'!E268</f>
        <v>0</v>
      </c>
      <c r="F259" s="22">
        <f>'FY21 w YOY comp'!F268</f>
        <v>0</v>
      </c>
      <c r="G259" s="21">
        <f>'FY21 w YOY comp'!G268</f>
        <v>0</v>
      </c>
      <c r="H259" s="22">
        <f>'FY21 w YOY comp'!I268</f>
        <v>0</v>
      </c>
      <c r="I259" s="22">
        <f>'FY21 w YOY comp'!H268</f>
        <v>0</v>
      </c>
      <c r="J259" s="24">
        <f>'FY21 w YOY comp'!K268</f>
        <v>0</v>
      </c>
      <c r="K259" s="1">
        <f>'FY21 w YOY comp'!O268</f>
        <v>0</v>
      </c>
      <c r="L259" s="1">
        <f>'FY21 w YOY comp'!P268</f>
        <v>0</v>
      </c>
      <c r="M259" s="1">
        <f>'FY21 w YOY comp'!Q268</f>
        <v>0</v>
      </c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hidden="1" customHeight="1" x14ac:dyDescent="0.25">
      <c r="A260" s="46" t="str">
        <f>'FY21 w YOY comp'!A269</f>
        <v xml:space="preserve">         5611 Class Books/Bibles</v>
      </c>
      <c r="B260" s="47">
        <f>'FY21 w YOY comp'!B269</f>
        <v>8.98</v>
      </c>
      <c r="C260" s="47">
        <f>'FY21 w YOY comp'!C269</f>
        <v>79.06</v>
      </c>
      <c r="D260" s="47">
        <f>'FY21 w YOY comp'!D269</f>
        <v>108.06</v>
      </c>
      <c r="E260" s="47">
        <f>'FY21 w YOY comp'!E269</f>
        <v>35.5</v>
      </c>
      <c r="F260" s="47">
        <f>'FY21 w YOY comp'!F269</f>
        <v>103.1</v>
      </c>
      <c r="G260" s="47">
        <f>'FY21 w YOY comp'!G269</f>
        <v>104.1</v>
      </c>
      <c r="H260" s="22">
        <f>'FY21 w YOY comp'!I269</f>
        <v>0</v>
      </c>
      <c r="I260" s="22">
        <f>'FY21 w YOY comp'!H269</f>
        <v>104.1</v>
      </c>
      <c r="J260" s="24">
        <f>'FY21 w YOY comp'!K269</f>
        <v>200</v>
      </c>
      <c r="K260" s="1">
        <f>'FY21 w YOY comp'!O269</f>
        <v>0</v>
      </c>
      <c r="L260" s="1">
        <f>'FY21 w YOY comp'!P269</f>
        <v>0</v>
      </c>
      <c r="M260" s="1">
        <f>'FY21 w YOY comp'!Q269</f>
        <v>0</v>
      </c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hidden="1" customHeight="1" x14ac:dyDescent="0.25">
      <c r="A261" s="46" t="str">
        <f>'FY21 w YOY comp'!A270</f>
        <v xml:space="preserve">         5613 Misc Supplies</v>
      </c>
      <c r="B261" s="21">
        <f>'FY21 w YOY comp'!B270</f>
        <v>0</v>
      </c>
      <c r="C261" s="47">
        <f>'FY21 w YOY comp'!C270</f>
        <v>165.33</v>
      </c>
      <c r="D261" s="21">
        <f>'FY21 w YOY comp'!D270</f>
        <v>0</v>
      </c>
      <c r="E261" s="21">
        <f>'FY21 w YOY comp'!E270</f>
        <v>0</v>
      </c>
      <c r="F261" s="22">
        <f>'FY21 w YOY comp'!F270</f>
        <v>0</v>
      </c>
      <c r="G261" s="21">
        <f>'FY21 w YOY comp'!G270</f>
        <v>10</v>
      </c>
      <c r="H261" s="22">
        <f>'FY21 w YOY comp'!I270</f>
        <v>0</v>
      </c>
      <c r="I261" s="22">
        <f>'FY21 w YOY comp'!H270</f>
        <v>10</v>
      </c>
      <c r="J261" s="24">
        <f>'FY21 w YOY comp'!K270</f>
        <v>0</v>
      </c>
      <c r="K261" s="1">
        <f>'FY21 w YOY comp'!O270</f>
        <v>0</v>
      </c>
      <c r="L261" s="1">
        <f>'FY21 w YOY comp'!P270</f>
        <v>0</v>
      </c>
      <c r="M261" s="1">
        <f>'FY21 w YOY comp'!Q270</f>
        <v>0</v>
      </c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hidden="1" customHeight="1" x14ac:dyDescent="0.25">
      <c r="A262" s="46" t="str">
        <f>'FY21 w YOY comp'!A271</f>
        <v xml:space="preserve">         5614 A.M. Leader Training</v>
      </c>
      <c r="B262" s="21">
        <f>'FY21 w YOY comp'!B271</f>
        <v>0</v>
      </c>
      <c r="C262" s="47">
        <f>'FY21 w YOY comp'!C271</f>
        <v>271.01</v>
      </c>
      <c r="D262" s="47">
        <f>'FY21 w YOY comp'!D271</f>
        <v>586.22</v>
      </c>
      <c r="E262" s="47">
        <f>'FY21 w YOY comp'!E271</f>
        <v>1186.48</v>
      </c>
      <c r="F262" s="47">
        <f>'FY21 w YOY comp'!F271</f>
        <v>220.48</v>
      </c>
      <c r="G262" s="47">
        <f>'FY21 w YOY comp'!G271</f>
        <v>213.29</v>
      </c>
      <c r="H262" s="22">
        <f>'FY21 w YOY comp'!I271</f>
        <v>300</v>
      </c>
      <c r="I262" s="22">
        <f>'FY21 w YOY comp'!H271</f>
        <v>213.29</v>
      </c>
      <c r="J262" s="24">
        <f>'FY21 w YOY comp'!K271</f>
        <v>0</v>
      </c>
      <c r="K262" s="1">
        <f>'FY21 w YOY comp'!O271</f>
        <v>0</v>
      </c>
      <c r="L262" s="1">
        <f>'FY21 w YOY comp'!P271</f>
        <v>0</v>
      </c>
      <c r="M262" s="1">
        <f>'FY21 w YOY comp'!Q271</f>
        <v>0</v>
      </c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hidden="1" customHeight="1" x14ac:dyDescent="0.25">
      <c r="A263" s="46" t="str">
        <f>'FY21 w YOY comp'!A272</f>
        <v xml:space="preserve">         5615 LEAD</v>
      </c>
      <c r="B263" s="21">
        <f>'FY21 w YOY comp'!B272</f>
        <v>0</v>
      </c>
      <c r="C263" s="47">
        <f>'FY21 w YOY comp'!C272</f>
        <v>625</v>
      </c>
      <c r="D263" s="47">
        <f>'FY21 w YOY comp'!D272</f>
        <v>539.5</v>
      </c>
      <c r="E263" s="47">
        <f>'FY21 w YOY comp'!E272</f>
        <v>275</v>
      </c>
      <c r="F263" s="22">
        <f>'FY21 w YOY comp'!F272</f>
        <v>0</v>
      </c>
      <c r="G263" s="21">
        <f>'FY21 w YOY comp'!G272</f>
        <v>0</v>
      </c>
      <c r="H263" s="22">
        <f>'FY21 w YOY comp'!I272</f>
        <v>0</v>
      </c>
      <c r="I263" s="22">
        <f>'FY21 w YOY comp'!H272</f>
        <v>0</v>
      </c>
      <c r="J263" s="24">
        <f>'FY21 w YOY comp'!K272</f>
        <v>0</v>
      </c>
      <c r="K263" s="266">
        <f>'FY21 w YOY comp'!O272</f>
        <v>0</v>
      </c>
      <c r="L263" s="1">
        <f>'FY21 w YOY comp'!P272</f>
        <v>0</v>
      </c>
      <c r="M263" s="1">
        <f>'FY21 w YOY comp'!Q272</f>
        <v>0</v>
      </c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hidden="1" customHeight="1" x14ac:dyDescent="0.25">
      <c r="A264" s="122" t="str">
        <f>'FY21 w YOY comp'!A273</f>
        <v xml:space="preserve">      Total 5610 Adult</v>
      </c>
      <c r="B264" s="178">
        <f>'FY21 w YOY comp'!B273</f>
        <v>136.53</v>
      </c>
      <c r="C264" s="178">
        <f>'FY21 w YOY comp'!C273</f>
        <v>1140.4000000000001</v>
      </c>
      <c r="D264" s="178">
        <f>'FY21 w YOY comp'!D273</f>
        <v>1233.78</v>
      </c>
      <c r="E264" s="178">
        <f>'FY21 w YOY comp'!E273</f>
        <v>1496.98</v>
      </c>
      <c r="F264" s="178">
        <f>'FY21 w YOY comp'!F273</f>
        <v>323.58</v>
      </c>
      <c r="G264" s="178">
        <f>'FY21 w YOY comp'!G273</f>
        <v>327.39</v>
      </c>
      <c r="H264" s="178">
        <f>'FY21 w YOY comp'!I273</f>
        <v>300</v>
      </c>
      <c r="I264" s="178">
        <f>'FY21 w YOY comp'!H273</f>
        <v>327.39</v>
      </c>
      <c r="J264" s="180">
        <f>'FY21 w YOY comp'!K273</f>
        <v>200</v>
      </c>
      <c r="K264" s="131">
        <f>'FY21 w YOY comp'!O273</f>
        <v>0</v>
      </c>
      <c r="L264" s="131">
        <f>'FY21 w YOY comp'!P273</f>
        <v>0</v>
      </c>
      <c r="M264" s="131">
        <f>'FY21 w YOY comp'!Q273</f>
        <v>0</v>
      </c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1"/>
      <c r="Z264" s="131"/>
      <c r="AA264" s="131"/>
    </row>
    <row r="265" spans="1:27" ht="15.75" hidden="1" customHeight="1" x14ac:dyDescent="0.25">
      <c r="A265" s="46" t="str">
        <f>'FY21 w YOY comp'!A274</f>
        <v xml:space="preserve">      5620 Senior High Youth</v>
      </c>
      <c r="B265" s="21">
        <f>'FY21 w YOY comp'!B274</f>
        <v>0</v>
      </c>
      <c r="C265" s="21">
        <f>'FY21 w YOY comp'!C274</f>
        <v>0</v>
      </c>
      <c r="D265" s="21">
        <f>'FY21 w YOY comp'!D274</f>
        <v>0</v>
      </c>
      <c r="E265" s="21">
        <f>'FY21 w YOY comp'!E274</f>
        <v>0</v>
      </c>
      <c r="F265" s="22">
        <f>'FY21 w YOY comp'!F274</f>
        <v>0</v>
      </c>
      <c r="G265" s="21">
        <f>'FY21 w YOY comp'!G274</f>
        <v>0</v>
      </c>
      <c r="H265" s="22">
        <f>'FY21 w YOY comp'!I274</f>
        <v>0</v>
      </c>
      <c r="I265" s="22">
        <f>'FY21 w YOY comp'!H274</f>
        <v>0</v>
      </c>
      <c r="J265" s="24">
        <f>'FY21 w YOY comp'!K274</f>
        <v>0</v>
      </c>
      <c r="K265" s="1">
        <f>'FY21 w YOY comp'!O274</f>
        <v>0</v>
      </c>
      <c r="L265" s="1">
        <f>'FY21 w YOY comp'!P274</f>
        <v>0</v>
      </c>
      <c r="M265" s="1">
        <f>'FY21 w YOY comp'!Q274</f>
        <v>0</v>
      </c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hidden="1" customHeight="1" x14ac:dyDescent="0.25">
      <c r="A266" s="46" t="str">
        <f>'FY21 w YOY comp'!A275</f>
        <v xml:space="preserve">         5622 Special Project</v>
      </c>
      <c r="B266" s="21">
        <f>'FY21 w YOY comp'!B275</f>
        <v>0</v>
      </c>
      <c r="C266" s="21">
        <f>'FY21 w YOY comp'!C275</f>
        <v>0</v>
      </c>
      <c r="D266" s="21">
        <f>'FY21 w YOY comp'!D275</f>
        <v>0</v>
      </c>
      <c r="E266" s="47">
        <f>'FY21 w YOY comp'!E275</f>
        <v>16.82</v>
      </c>
      <c r="F266" s="22">
        <f>'FY21 w YOY comp'!F275</f>
        <v>0</v>
      </c>
      <c r="G266" s="21">
        <f>'FY21 w YOY comp'!G275</f>
        <v>0</v>
      </c>
      <c r="H266" s="22">
        <f>'FY21 w YOY comp'!I275</f>
        <v>250</v>
      </c>
      <c r="I266" s="22">
        <f>'FY21 w YOY comp'!H275</f>
        <v>0</v>
      </c>
      <c r="J266" s="24">
        <f>'FY21 w YOY comp'!K275</f>
        <v>0</v>
      </c>
      <c r="K266" s="1">
        <f>'FY21 w YOY comp'!O275</f>
        <v>0</v>
      </c>
      <c r="L266" s="1">
        <f>'FY21 w YOY comp'!P275</f>
        <v>0</v>
      </c>
      <c r="M266" s="1">
        <f>'FY21 w YOY comp'!Q275</f>
        <v>0</v>
      </c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hidden="1" customHeight="1" x14ac:dyDescent="0.25">
      <c r="A267" s="46" t="str">
        <f>'FY21 w YOY comp'!A276</f>
        <v xml:space="preserve">         5623 School Year Events</v>
      </c>
      <c r="B267" s="21">
        <f>'FY21 w YOY comp'!B276</f>
        <v>0</v>
      </c>
      <c r="C267" s="47">
        <f>'FY21 w YOY comp'!C276</f>
        <v>14.23</v>
      </c>
      <c r="D267" s="21">
        <f>'FY21 w YOY comp'!D276</f>
        <v>0</v>
      </c>
      <c r="E267" s="21">
        <f>'FY21 w YOY comp'!E276</f>
        <v>0</v>
      </c>
      <c r="F267" s="47">
        <f>'FY21 w YOY comp'!F276</f>
        <v>18</v>
      </c>
      <c r="G267" s="47">
        <f>'FY21 w YOY comp'!G276</f>
        <v>18</v>
      </c>
      <c r="H267" s="22">
        <f>'FY21 w YOY comp'!I276</f>
        <v>400</v>
      </c>
      <c r="I267" s="22">
        <f>'FY21 w YOY comp'!H276</f>
        <v>18</v>
      </c>
      <c r="J267" s="24">
        <f>'FY21 w YOY comp'!K276</f>
        <v>200</v>
      </c>
      <c r="K267" s="1">
        <f>'FY21 w YOY comp'!O276</f>
        <v>0</v>
      </c>
      <c r="L267" s="1">
        <f>'FY21 w YOY comp'!P276</f>
        <v>0</v>
      </c>
      <c r="M267" s="1">
        <f>'FY21 w YOY comp'!Q276</f>
        <v>0</v>
      </c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hidden="1" customHeight="1" x14ac:dyDescent="0.25">
      <c r="A268" s="46" t="str">
        <f>'FY21 w YOY comp'!A277</f>
        <v xml:space="preserve">         5624 Summer Events</v>
      </c>
      <c r="B268" s="21">
        <f>'FY21 w YOY comp'!B277</f>
        <v>0</v>
      </c>
      <c r="C268" s="47">
        <f>'FY21 w YOY comp'!C277</f>
        <v>229.5</v>
      </c>
      <c r="D268" s="47">
        <f>'FY21 w YOY comp'!D277</f>
        <v>2257.8000000000002</v>
      </c>
      <c r="E268" s="47">
        <f>'FY21 w YOY comp'!E277</f>
        <v>17.170000000000002</v>
      </c>
      <c r="F268" s="22">
        <f>'FY21 w YOY comp'!F277</f>
        <v>0</v>
      </c>
      <c r="G268" s="21">
        <f>'FY21 w YOY comp'!G277</f>
        <v>0</v>
      </c>
      <c r="H268" s="22">
        <f>'FY21 w YOY comp'!I277</f>
        <v>100</v>
      </c>
      <c r="I268" s="22">
        <f>'FY21 w YOY comp'!H277</f>
        <v>0</v>
      </c>
      <c r="J268" s="24">
        <f>'FY21 w YOY comp'!K277</f>
        <v>100</v>
      </c>
      <c r="K268" s="1" t="str">
        <f>'FY21 w YOY comp'!O277</f>
        <v>National youth gathering moved to 2022. These fees cover adult participants and scholarship. Get PSY input on expectation/participation for 2022.</v>
      </c>
      <c r="L268" s="1">
        <f>'FY21 w YOY comp'!P277</f>
        <v>0</v>
      </c>
      <c r="M268" s="1">
        <f>'FY21 w YOY comp'!Q277</f>
        <v>0</v>
      </c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hidden="1" customHeight="1" x14ac:dyDescent="0.25">
      <c r="A269" s="46" t="str">
        <f>'FY21 w YOY comp'!A278</f>
        <v xml:space="preserve">         5625 New Programs</v>
      </c>
      <c r="B269" s="21">
        <f>'FY21 w YOY comp'!B278</f>
        <v>0</v>
      </c>
      <c r="C269" s="21">
        <f>'FY21 w YOY comp'!C278</f>
        <v>0</v>
      </c>
      <c r="D269" s="21">
        <f>'FY21 w YOY comp'!D278</f>
        <v>0</v>
      </c>
      <c r="E269" s="21">
        <f>'FY21 w YOY comp'!E278</f>
        <v>0</v>
      </c>
      <c r="F269" s="22">
        <f>'FY21 w YOY comp'!F278</f>
        <v>0</v>
      </c>
      <c r="G269" s="21">
        <f>'FY21 w YOY comp'!G278</f>
        <v>0</v>
      </c>
      <c r="H269" s="22">
        <f>'FY21 w YOY comp'!I278</f>
        <v>100</v>
      </c>
      <c r="I269" s="22">
        <f>'FY21 w YOY comp'!H278</f>
        <v>0</v>
      </c>
      <c r="J269" s="24">
        <f>'FY21 w YOY comp'!K278</f>
        <v>0</v>
      </c>
      <c r="K269" s="1" t="str">
        <f>'FY21 w YOY comp'!O278</f>
        <v>~$966pp in 2018</v>
      </c>
      <c r="L269" s="1">
        <f>'FY21 w YOY comp'!P278</f>
        <v>0</v>
      </c>
      <c r="M269" s="1">
        <f>'FY21 w YOY comp'!Q278</f>
        <v>0</v>
      </c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hidden="1" customHeight="1" x14ac:dyDescent="0.25">
      <c r="A270" s="46" t="str">
        <f>'FY21 w YOY comp'!A279</f>
        <v xml:space="preserve">         5626 Sunday School</v>
      </c>
      <c r="B270" s="21">
        <f>'FY21 w YOY comp'!B279</f>
        <v>0</v>
      </c>
      <c r="C270" s="21">
        <f>'FY21 w YOY comp'!C279</f>
        <v>0</v>
      </c>
      <c r="D270" s="21">
        <f>'FY21 w YOY comp'!D279</f>
        <v>0</v>
      </c>
      <c r="E270" s="21">
        <f>'FY21 w YOY comp'!E279</f>
        <v>0</v>
      </c>
      <c r="F270" s="22">
        <f>'FY21 w YOY comp'!F279</f>
        <v>0</v>
      </c>
      <c r="G270" s="21">
        <f>'FY21 w YOY comp'!G279</f>
        <v>0</v>
      </c>
      <c r="H270" s="22">
        <f>'FY21 w YOY comp'!I279</f>
        <v>150</v>
      </c>
      <c r="I270" s="22">
        <f>'FY21 w YOY comp'!H279</f>
        <v>0</v>
      </c>
      <c r="J270" s="24">
        <f>'FY21 w YOY comp'!K279</f>
        <v>150</v>
      </c>
      <c r="K270" s="1" t="str">
        <f>'FY21 w YOY comp'!O279</f>
        <v>Donuts w/ danielle, Zoom events, etc.</v>
      </c>
      <c r="L270" s="1">
        <f>'FY21 w YOY comp'!P279</f>
        <v>0</v>
      </c>
      <c r="M270" s="1">
        <f>'FY21 w YOY comp'!Q279</f>
        <v>0</v>
      </c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hidden="1" customHeight="1" x14ac:dyDescent="0.25">
      <c r="A271" s="46" t="str">
        <f>'FY21 w YOY comp'!A280</f>
        <v xml:space="preserve">         5627 Materials &amp; Supplies</v>
      </c>
      <c r="B271" s="21">
        <f>'FY21 w YOY comp'!B280</f>
        <v>0</v>
      </c>
      <c r="C271" s="21">
        <f>'FY21 w YOY comp'!C280</f>
        <v>0</v>
      </c>
      <c r="D271" s="21">
        <f>'FY21 w YOY comp'!D280</f>
        <v>0</v>
      </c>
      <c r="E271" s="47">
        <f>'FY21 w YOY comp'!E280</f>
        <v>11.93</v>
      </c>
      <c r="F271" s="47">
        <f>'FY21 w YOY comp'!F280</f>
        <v>6.17</v>
      </c>
      <c r="G271" s="47">
        <f>'FY21 w YOY comp'!G280</f>
        <v>6.17</v>
      </c>
      <c r="H271" s="22">
        <f>'FY21 w YOY comp'!I280</f>
        <v>50</v>
      </c>
      <c r="I271" s="22">
        <f>'FY21 w YOY comp'!H280</f>
        <v>6.17</v>
      </c>
      <c r="J271" s="24">
        <f>'FY21 w YOY comp'!K280</f>
        <v>30</v>
      </c>
      <c r="K271" s="1" t="str">
        <f>'FY21 w YOY comp'!O280</f>
        <v>planning on doing a monthly event with the youth, will need snacks and supplies</v>
      </c>
      <c r="L271" s="1">
        <f>'FY21 w YOY comp'!P280</f>
        <v>0</v>
      </c>
      <c r="M271" s="1">
        <f>'FY21 w YOY comp'!Q280</f>
        <v>0</v>
      </c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hidden="1" customHeight="1" x14ac:dyDescent="0.25">
      <c r="A272" s="46" t="str">
        <f>'FY21 w YOY comp'!A281</f>
        <v xml:space="preserve">         5627 Misc Supplies (deleted)</v>
      </c>
      <c r="B272" s="21">
        <f>'FY21 w YOY comp'!B281</f>
        <v>0</v>
      </c>
      <c r="C272" s="21">
        <f>'FY21 w YOY comp'!C281</f>
        <v>0</v>
      </c>
      <c r="D272" s="47">
        <f>'FY21 w YOY comp'!D281</f>
        <v>95.38</v>
      </c>
      <c r="E272" s="21">
        <f>'FY21 w YOY comp'!E281</f>
        <v>0</v>
      </c>
      <c r="F272" s="22">
        <f>'FY21 w YOY comp'!F281</f>
        <v>0</v>
      </c>
      <c r="G272" s="21">
        <f>'FY21 w YOY comp'!G281</f>
        <v>0</v>
      </c>
      <c r="H272" s="22">
        <f>'FY21 w YOY comp'!I281</f>
        <v>0</v>
      </c>
      <c r="I272" s="22">
        <f>'FY21 w YOY comp'!H281</f>
        <v>0</v>
      </c>
      <c r="J272" s="24">
        <f>'FY21 w YOY comp'!K281</f>
        <v>0</v>
      </c>
      <c r="K272" s="1">
        <f>'FY21 w YOY comp'!O281</f>
        <v>0</v>
      </c>
      <c r="L272" s="1">
        <f>'FY21 w YOY comp'!P281</f>
        <v>0</v>
      </c>
      <c r="M272" s="1">
        <f>'FY21 w YOY comp'!Q281</f>
        <v>0</v>
      </c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hidden="1" customHeight="1" x14ac:dyDescent="0.25">
      <c r="A273" s="46" t="str">
        <f>'FY21 w YOY comp'!A282</f>
        <v xml:space="preserve">         5628 SHYM Leader Training</v>
      </c>
      <c r="B273" s="21">
        <f>'FY21 w YOY comp'!B282</f>
        <v>0</v>
      </c>
      <c r="C273" s="21">
        <f>'FY21 w YOY comp'!C282</f>
        <v>0</v>
      </c>
      <c r="D273" s="21">
        <f>'FY21 w YOY comp'!D282</f>
        <v>0</v>
      </c>
      <c r="E273" s="21">
        <f>'FY21 w YOY comp'!E282</f>
        <v>0</v>
      </c>
      <c r="F273" s="22">
        <f>'FY21 w YOY comp'!F282</f>
        <v>0</v>
      </c>
      <c r="G273" s="21">
        <f>'FY21 w YOY comp'!G282</f>
        <v>0</v>
      </c>
      <c r="H273" s="22">
        <f>'FY21 w YOY comp'!I282</f>
        <v>100</v>
      </c>
      <c r="I273" s="22">
        <f>'FY21 w YOY comp'!H282</f>
        <v>0</v>
      </c>
      <c r="J273" s="24">
        <f>'FY21 w YOY comp'!K282</f>
        <v>30</v>
      </c>
      <c r="K273" s="1" t="str">
        <f>'FY21 w YOY comp'!O282</f>
        <v>virtual youth director training from the ELCA</v>
      </c>
      <c r="L273" s="1">
        <f>'FY21 w YOY comp'!P282</f>
        <v>0</v>
      </c>
      <c r="M273" s="1">
        <f>'FY21 w YOY comp'!Q282</f>
        <v>0</v>
      </c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hidden="1" customHeight="1" x14ac:dyDescent="0.25">
      <c r="A274" s="122" t="str">
        <f>'FY21 w YOY comp'!A283</f>
        <v xml:space="preserve">      Total 5620 Senior High Youth</v>
      </c>
      <c r="B274" s="178">
        <f>'FY21 w YOY comp'!B283</f>
        <v>0</v>
      </c>
      <c r="C274" s="178">
        <f>'FY21 w YOY comp'!C283</f>
        <v>243.73</v>
      </c>
      <c r="D274" s="178">
        <f>'FY21 w YOY comp'!D283</f>
        <v>2353.1800000000003</v>
      </c>
      <c r="E274" s="178">
        <f>'FY21 w YOY comp'!E283</f>
        <v>45.92</v>
      </c>
      <c r="F274" s="178">
        <f>'FY21 w YOY comp'!F283</f>
        <v>24.17</v>
      </c>
      <c r="G274" s="178">
        <f>'FY21 w YOY comp'!G283</f>
        <v>24.17</v>
      </c>
      <c r="H274" s="178">
        <f>'FY21 w YOY comp'!I283</f>
        <v>1150</v>
      </c>
      <c r="I274" s="178">
        <f>'FY21 w YOY comp'!H283</f>
        <v>24.17</v>
      </c>
      <c r="J274" s="180">
        <f>'FY21 w YOY comp'!K283</f>
        <v>510</v>
      </c>
      <c r="K274" s="131">
        <f>'FY21 w YOY comp'!O283</f>
        <v>0</v>
      </c>
      <c r="L274" s="131">
        <f>'FY21 w YOY comp'!P283</f>
        <v>0</v>
      </c>
      <c r="M274" s="131">
        <f>'FY21 w YOY comp'!Q283</f>
        <v>0</v>
      </c>
      <c r="N274" s="131"/>
      <c r="O274" s="131"/>
      <c r="P274" s="131"/>
      <c r="Q274" s="131"/>
      <c r="R274" s="131"/>
      <c r="S274" s="131"/>
      <c r="T274" s="131"/>
      <c r="U274" s="131"/>
      <c r="V274" s="131"/>
      <c r="W274" s="131"/>
      <c r="X274" s="131"/>
      <c r="Y274" s="131"/>
      <c r="Z274" s="131"/>
      <c r="AA274" s="131"/>
    </row>
    <row r="275" spans="1:27" ht="15.75" hidden="1" customHeight="1" x14ac:dyDescent="0.25">
      <c r="A275" s="46" t="str">
        <f>'FY21 w YOY comp'!A284</f>
        <v xml:space="preserve">      5630 Middle School Youth</v>
      </c>
      <c r="B275" s="21">
        <f>'FY21 w YOY comp'!B284</f>
        <v>0</v>
      </c>
      <c r="C275" s="21">
        <f>'FY21 w YOY comp'!C284</f>
        <v>0</v>
      </c>
      <c r="D275" s="21">
        <f>'FY21 w YOY comp'!D284</f>
        <v>0</v>
      </c>
      <c r="E275" s="21">
        <f>'FY21 w YOY comp'!E284</f>
        <v>0</v>
      </c>
      <c r="F275" s="22">
        <f>'FY21 w YOY comp'!F284</f>
        <v>0</v>
      </c>
      <c r="G275" s="21">
        <f>'FY21 w YOY comp'!G284</f>
        <v>0</v>
      </c>
      <c r="H275" s="22">
        <f>'FY21 w YOY comp'!I284</f>
        <v>0</v>
      </c>
      <c r="I275" s="22">
        <f>'FY21 w YOY comp'!H284</f>
        <v>0</v>
      </c>
      <c r="J275" s="24">
        <f>'FY21 w YOY comp'!K284</f>
        <v>0</v>
      </c>
      <c r="K275" s="1">
        <f>'FY21 w YOY comp'!O284</f>
        <v>0</v>
      </c>
      <c r="L275" s="1">
        <f>'FY21 w YOY comp'!P284</f>
        <v>0</v>
      </c>
      <c r="M275" s="1">
        <f>'FY21 w YOY comp'!Q284</f>
        <v>0</v>
      </c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hidden="1" customHeight="1" x14ac:dyDescent="0.25">
      <c r="A276" s="46" t="str">
        <f>'FY21 w YOY comp'!A285</f>
        <v xml:space="preserve">         5631 Retreat</v>
      </c>
      <c r="B276" s="21">
        <f>'FY21 w YOY comp'!B285</f>
        <v>0</v>
      </c>
      <c r="C276" s="47">
        <f>'FY21 w YOY comp'!C285</f>
        <v>630</v>
      </c>
      <c r="D276" s="47">
        <f>'FY21 w YOY comp'!D285</f>
        <v>214.77</v>
      </c>
      <c r="E276" s="21">
        <f>'FY21 w YOY comp'!E285</f>
        <v>0</v>
      </c>
      <c r="F276" s="22">
        <f>'FY21 w YOY comp'!F285</f>
        <v>0</v>
      </c>
      <c r="G276" s="21">
        <f>'FY21 w YOY comp'!G285</f>
        <v>0</v>
      </c>
      <c r="H276" s="22">
        <f>'FY21 w YOY comp'!I285</f>
        <v>0</v>
      </c>
      <c r="I276" s="22">
        <f>'FY21 w YOY comp'!H285</f>
        <v>0</v>
      </c>
      <c r="J276" s="24">
        <f>'FY21 w YOY comp'!K285</f>
        <v>0</v>
      </c>
      <c r="K276" s="1">
        <f>'FY21 w YOY comp'!O285</f>
        <v>0</v>
      </c>
      <c r="L276" s="1">
        <f>'FY21 w YOY comp'!P285</f>
        <v>0</v>
      </c>
      <c r="M276" s="1">
        <f>'FY21 w YOY comp'!Q285</f>
        <v>0</v>
      </c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hidden="1" customHeight="1" x14ac:dyDescent="0.25">
      <c r="A277" s="46" t="str">
        <f>'FY21 w YOY comp'!A286</f>
        <v xml:space="preserve">         5632 Confirmation Sunday</v>
      </c>
      <c r="B277" s="21">
        <f>'FY21 w YOY comp'!B286</f>
        <v>0</v>
      </c>
      <c r="C277" s="47">
        <f>'FY21 w YOY comp'!C286</f>
        <v>293.76</v>
      </c>
      <c r="D277" s="47">
        <f>'FY21 w YOY comp'!D286</f>
        <v>336</v>
      </c>
      <c r="E277" s="21">
        <f>'FY21 w YOY comp'!E286</f>
        <v>0</v>
      </c>
      <c r="F277" s="22">
        <f>'FY21 w YOY comp'!F286</f>
        <v>0</v>
      </c>
      <c r="G277" s="21">
        <f>'FY21 w YOY comp'!G286</f>
        <v>354</v>
      </c>
      <c r="H277" s="22">
        <f>'FY21 w YOY comp'!I286</f>
        <v>100</v>
      </c>
      <c r="I277" s="22">
        <f>'FY21 w YOY comp'!H286</f>
        <v>354</v>
      </c>
      <c r="J277" s="24">
        <f>'FY21 w YOY comp'!K286</f>
        <v>200</v>
      </c>
      <c r="K277" s="1" t="str">
        <f>'FY21 w YOY comp'!O286</f>
        <v>$25 for the confirmation cake, $50 for McFaden Glass for 2 kids, and other</v>
      </c>
      <c r="L277" s="1">
        <f>'FY21 w YOY comp'!P286</f>
        <v>0</v>
      </c>
      <c r="M277" s="1">
        <f>'FY21 w YOY comp'!Q286</f>
        <v>0</v>
      </c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hidden="1" customHeight="1" x14ac:dyDescent="0.25">
      <c r="A278" s="46" t="str">
        <f>'FY21 w YOY comp'!A287</f>
        <v xml:space="preserve">         5633 Confirmation Materials</v>
      </c>
      <c r="B278" s="47">
        <f>'FY21 w YOY comp'!B287</f>
        <v>491.81</v>
      </c>
      <c r="C278" s="47">
        <f>'FY21 w YOY comp'!C287</f>
        <v>473.64</v>
      </c>
      <c r="D278" s="47">
        <f>'FY21 w YOY comp'!D287</f>
        <v>475.37</v>
      </c>
      <c r="E278" s="47">
        <f>'FY21 w YOY comp'!E287</f>
        <v>367.46</v>
      </c>
      <c r="F278" s="47">
        <f>'FY21 w YOY comp'!F287</f>
        <v>156.71</v>
      </c>
      <c r="G278" s="47">
        <f>'FY21 w YOY comp'!G287</f>
        <v>352.07</v>
      </c>
      <c r="H278" s="22">
        <f>'FY21 w YOY comp'!I287</f>
        <v>400</v>
      </c>
      <c r="I278" s="22">
        <f>'FY21 w YOY comp'!H287</f>
        <v>352.07</v>
      </c>
      <c r="J278" s="73">
        <f>'FY21 w YOY comp'!K287</f>
        <v>512</v>
      </c>
      <c r="K278" s="1" t="str">
        <f>'FY21 w YOY comp'!O287</f>
        <v>2 bibles for upcoming confirmation students; snacks at $2 a kid per week for 20 weeks</v>
      </c>
      <c r="L278" s="1">
        <f>'FY21 w YOY comp'!P287</f>
        <v>0</v>
      </c>
      <c r="M278" s="1">
        <f>'FY21 w YOY comp'!Q287</f>
        <v>0</v>
      </c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hidden="1" customHeight="1" x14ac:dyDescent="0.25">
      <c r="A279" s="46" t="str">
        <f>'FY21 w YOY comp'!A288</f>
        <v xml:space="preserve">         5635 Events</v>
      </c>
      <c r="B279" s="47">
        <f>'FY21 w YOY comp'!B288</f>
        <v>86</v>
      </c>
      <c r="C279" s="47">
        <f>'FY21 w YOY comp'!C288</f>
        <v>129.5</v>
      </c>
      <c r="D279" s="47">
        <f>'FY21 w YOY comp'!D288</f>
        <v>154.25</v>
      </c>
      <c r="E279" s="47">
        <f>'FY21 w YOY comp'!E288</f>
        <v>17.16</v>
      </c>
      <c r="F279" s="47">
        <f>'FY21 w YOY comp'!F288</f>
        <v>15.58</v>
      </c>
      <c r="G279" s="47">
        <f>'FY21 w YOY comp'!G288</f>
        <v>15.58</v>
      </c>
      <c r="H279" s="22">
        <f>'FY21 w YOY comp'!I288</f>
        <v>100</v>
      </c>
      <c r="I279" s="22">
        <f>'FY21 w YOY comp'!H288</f>
        <v>15.58</v>
      </c>
      <c r="J279" s="73">
        <f>'FY21 w YOY comp'!K288</f>
        <v>165</v>
      </c>
      <c r="K279" s="1" t="str">
        <f>'FY21 w YOY comp'!O288</f>
        <v>$165  for a bowling confirmation night</v>
      </c>
      <c r="L279" s="1">
        <f>'FY21 w YOY comp'!P288</f>
        <v>0</v>
      </c>
      <c r="M279" s="1">
        <f>'FY21 w YOY comp'!Q288</f>
        <v>0</v>
      </c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hidden="1" customHeight="1" x14ac:dyDescent="0.25">
      <c r="A280" s="46" t="str">
        <f>'FY21 w YOY comp'!A289</f>
        <v xml:space="preserve">         5636 Materials &amp; Supplies</v>
      </c>
      <c r="B280" s="21">
        <f>'FY21 w YOY comp'!B289</f>
        <v>0</v>
      </c>
      <c r="C280" s="21">
        <f>'FY21 w YOY comp'!C289</f>
        <v>0</v>
      </c>
      <c r="D280" s="21">
        <f>'FY21 w YOY comp'!D289</f>
        <v>0</v>
      </c>
      <c r="E280" s="47">
        <f>'FY21 w YOY comp'!E289</f>
        <v>11.94</v>
      </c>
      <c r="F280" s="47">
        <f>'FY21 w YOY comp'!F289</f>
        <v>6.17</v>
      </c>
      <c r="G280" s="47">
        <f>'FY21 w YOY comp'!G289</f>
        <v>6.17</v>
      </c>
      <c r="H280" s="22">
        <f>'FY21 w YOY comp'!I289</f>
        <v>0</v>
      </c>
      <c r="I280" s="22">
        <f>'FY21 w YOY comp'!H289</f>
        <v>6.17</v>
      </c>
      <c r="J280" s="73">
        <f>'FY21 w YOY comp'!K289</f>
        <v>0</v>
      </c>
      <c r="K280" s="1">
        <f>'FY21 w YOY comp'!O289</f>
        <v>0</v>
      </c>
      <c r="L280" s="1">
        <f>'FY21 w YOY comp'!P289</f>
        <v>0</v>
      </c>
      <c r="M280" s="1">
        <f>'FY21 w YOY comp'!Q289</f>
        <v>0</v>
      </c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hidden="1" customHeight="1" x14ac:dyDescent="0.25">
      <c r="A281" s="46" t="str">
        <f>'FY21 w YOY comp'!A290</f>
        <v xml:space="preserve">         5636 Misc Supplies (deleted)</v>
      </c>
      <c r="B281" s="21">
        <f>'FY21 w YOY comp'!B290</f>
        <v>0</v>
      </c>
      <c r="C281" s="21">
        <f>'FY21 w YOY comp'!C290</f>
        <v>0</v>
      </c>
      <c r="D281" s="47">
        <f>'FY21 w YOY comp'!D290</f>
        <v>95.38</v>
      </c>
      <c r="E281" s="21">
        <f>'FY21 w YOY comp'!E290</f>
        <v>0</v>
      </c>
      <c r="F281" s="22">
        <f>'FY21 w YOY comp'!F290</f>
        <v>0</v>
      </c>
      <c r="G281" s="21">
        <f>'FY21 w YOY comp'!G290</f>
        <v>0</v>
      </c>
      <c r="H281" s="59">
        <f>'FY21 w YOY comp'!I290</f>
        <v>0</v>
      </c>
      <c r="I281" s="22">
        <f>'FY21 w YOY comp'!H290</f>
        <v>0</v>
      </c>
      <c r="J281" s="61">
        <f>'FY21 w YOY comp'!K290</f>
        <v>0</v>
      </c>
      <c r="K281" s="1">
        <f>'FY21 w YOY comp'!O290</f>
        <v>0</v>
      </c>
      <c r="L281" s="1">
        <f>'FY21 w YOY comp'!P290</f>
        <v>0</v>
      </c>
      <c r="M281" s="1">
        <f>'FY21 w YOY comp'!Q290</f>
        <v>0</v>
      </c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hidden="1" customHeight="1" x14ac:dyDescent="0.25">
      <c r="A282" s="122" t="str">
        <f>'FY21 w YOY comp'!A291</f>
        <v xml:space="preserve">      Total 5630 Middle School Youth</v>
      </c>
      <c r="B282" s="178">
        <f>'FY21 w YOY comp'!B291</f>
        <v>577.80999999999995</v>
      </c>
      <c r="C282" s="178">
        <f>'FY21 w YOY comp'!C291</f>
        <v>1526.9</v>
      </c>
      <c r="D282" s="178">
        <f>'FY21 w YOY comp'!D291</f>
        <v>1275.77</v>
      </c>
      <c r="E282" s="178">
        <f>'FY21 w YOY comp'!E291</f>
        <v>396.56</v>
      </c>
      <c r="F282" s="178">
        <f>'FY21 w YOY comp'!F291</f>
        <v>178.46</v>
      </c>
      <c r="G282" s="178">
        <f>'FY21 w YOY comp'!G291</f>
        <v>727.81999999999994</v>
      </c>
      <c r="H282" s="178">
        <f>'FY21 w YOY comp'!I291</f>
        <v>600</v>
      </c>
      <c r="I282" s="178">
        <f>'FY21 w YOY comp'!H291</f>
        <v>727.81999999999994</v>
      </c>
      <c r="J282" s="180">
        <f>'FY21 w YOY comp'!K291</f>
        <v>877</v>
      </c>
      <c r="K282" s="131">
        <f>'FY21 w YOY comp'!O291</f>
        <v>0</v>
      </c>
      <c r="L282" s="131">
        <f>'FY21 w YOY comp'!P291</f>
        <v>0</v>
      </c>
      <c r="M282" s="131">
        <f>'FY21 w YOY comp'!Q291</f>
        <v>0</v>
      </c>
      <c r="N282" s="131"/>
      <c r="O282" s="131"/>
      <c r="P282" s="131"/>
      <c r="Q282" s="131"/>
      <c r="R282" s="131"/>
      <c r="S282" s="131"/>
      <c r="T282" s="131"/>
      <c r="U282" s="131"/>
      <c r="V282" s="131"/>
      <c r="W282" s="131"/>
      <c r="X282" s="131"/>
      <c r="Y282" s="131"/>
      <c r="Z282" s="131"/>
      <c r="AA282" s="131"/>
    </row>
    <row r="283" spans="1:27" ht="15.75" hidden="1" customHeight="1" x14ac:dyDescent="0.25">
      <c r="A283" s="46" t="str">
        <f>'FY21 w YOY comp'!A292</f>
        <v xml:space="preserve">      5640 Children's</v>
      </c>
      <c r="B283" s="21">
        <f>'FY21 w YOY comp'!B292</f>
        <v>0</v>
      </c>
      <c r="C283" s="21">
        <f>'FY21 w YOY comp'!C292</f>
        <v>0</v>
      </c>
      <c r="D283" s="21">
        <f>'FY21 w YOY comp'!D292</f>
        <v>0</v>
      </c>
      <c r="E283" s="21">
        <f>'FY21 w YOY comp'!E292</f>
        <v>0</v>
      </c>
      <c r="F283" s="22">
        <f>'FY21 w YOY comp'!F292</f>
        <v>0</v>
      </c>
      <c r="G283" s="21">
        <f>'FY21 w YOY comp'!G292</f>
        <v>0</v>
      </c>
      <c r="H283" s="22">
        <f>'FY21 w YOY comp'!I292</f>
        <v>0</v>
      </c>
      <c r="I283" s="22">
        <f>'FY21 w YOY comp'!H292</f>
        <v>0</v>
      </c>
      <c r="J283" s="24">
        <f>'FY21 w YOY comp'!K292</f>
        <v>0</v>
      </c>
      <c r="K283" s="1">
        <f>'FY21 w YOY comp'!O292</f>
        <v>0</v>
      </c>
      <c r="L283" s="1">
        <f>'FY21 w YOY comp'!P292</f>
        <v>0</v>
      </c>
      <c r="M283" s="1">
        <f>'FY21 w YOY comp'!Q292</f>
        <v>0</v>
      </c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hidden="1" customHeight="1" x14ac:dyDescent="0.25">
      <c r="A284" s="46" t="str">
        <f>'FY21 w YOY comp'!A293</f>
        <v xml:space="preserve">         5641 Nursery Supplies</v>
      </c>
      <c r="B284" s="21">
        <f>'FY21 w YOY comp'!B293</f>
        <v>0</v>
      </c>
      <c r="C284" s="21">
        <f>'FY21 w YOY comp'!C293</f>
        <v>0</v>
      </c>
      <c r="D284" s="47">
        <f>'FY21 w YOY comp'!D293</f>
        <v>36.51</v>
      </c>
      <c r="E284" s="47">
        <f>'FY21 w YOY comp'!E293</f>
        <v>180.06</v>
      </c>
      <c r="F284" s="47">
        <f>'FY21 w YOY comp'!F293</f>
        <v>543.69000000000005</v>
      </c>
      <c r="G284" s="47">
        <f>'FY21 w YOY comp'!G293</f>
        <v>363.63</v>
      </c>
      <c r="H284" s="22">
        <f>'FY21 w YOY comp'!I293</f>
        <v>100</v>
      </c>
      <c r="I284" s="22">
        <f>'FY21 w YOY comp'!H293</f>
        <v>363.63</v>
      </c>
      <c r="J284" s="24">
        <f>'FY21 w YOY comp'!K293</f>
        <v>150</v>
      </c>
      <c r="K284" s="1">
        <f>'FY21 w YOY comp'!O293</f>
        <v>0</v>
      </c>
      <c r="L284" s="1">
        <f>'FY21 w YOY comp'!P293</f>
        <v>0</v>
      </c>
      <c r="M284" s="1">
        <f>'FY21 w YOY comp'!Q293</f>
        <v>0</v>
      </c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hidden="1" customHeight="1" x14ac:dyDescent="0.25">
      <c r="A285" s="46" t="str">
        <f>'FY21 w YOY comp'!A294</f>
        <v xml:space="preserve">         5642 Curricula</v>
      </c>
      <c r="B285" s="47">
        <f>'FY21 w YOY comp'!B294</f>
        <v>10.59</v>
      </c>
      <c r="C285" s="21">
        <f>'FY21 w YOY comp'!C294</f>
        <v>0</v>
      </c>
      <c r="D285" s="47">
        <f>'FY21 w YOY comp'!D294</f>
        <v>364.09</v>
      </c>
      <c r="E285" s="47">
        <f>'FY21 w YOY comp'!E294</f>
        <v>521.44000000000005</v>
      </c>
      <c r="F285" s="22">
        <f>'FY21 w YOY comp'!F294</f>
        <v>0</v>
      </c>
      <c r="G285" s="21">
        <f>'FY21 w YOY comp'!G294</f>
        <v>98.76</v>
      </c>
      <c r="H285" s="22">
        <f>'FY21 w YOY comp'!I294</f>
        <v>250</v>
      </c>
      <c r="I285" s="22">
        <f>'FY21 w YOY comp'!H294</f>
        <v>98.76</v>
      </c>
      <c r="J285" s="24">
        <f>'FY21 w YOY comp'!K294</f>
        <v>150</v>
      </c>
      <c r="K285" s="1" t="str">
        <f>'FY21 w YOY comp'!O294</f>
        <v>Zoom events like graham cracker nativity, bird feeder, etc.</v>
      </c>
      <c r="L285" s="1">
        <f>'FY21 w YOY comp'!P294</f>
        <v>0</v>
      </c>
      <c r="M285" s="1">
        <f>'FY21 w YOY comp'!Q294</f>
        <v>0</v>
      </c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hidden="1" customHeight="1" x14ac:dyDescent="0.25">
      <c r="A286" s="46" t="str">
        <f>'FY21 w YOY comp'!A295</f>
        <v xml:space="preserve">         5643 Supplies (deleted)</v>
      </c>
      <c r="B286" s="47">
        <f>'FY21 w YOY comp'!B295</f>
        <v>35.6</v>
      </c>
      <c r="C286" s="21">
        <f>'FY21 w YOY comp'!C295</f>
        <v>0</v>
      </c>
      <c r="D286" s="47">
        <f>'FY21 w YOY comp'!D295</f>
        <v>50.59</v>
      </c>
      <c r="E286" s="21">
        <f>'FY21 w YOY comp'!E295</f>
        <v>0</v>
      </c>
      <c r="F286" s="22">
        <f>'FY21 w YOY comp'!F295</f>
        <v>0</v>
      </c>
      <c r="G286" s="21">
        <f>'FY21 w YOY comp'!G295</f>
        <v>0</v>
      </c>
      <c r="H286" s="22">
        <f>'FY21 w YOY comp'!I295</f>
        <v>0</v>
      </c>
      <c r="I286" s="22">
        <f>'FY21 w YOY comp'!H295</f>
        <v>0</v>
      </c>
      <c r="J286" s="24">
        <f>'FY21 w YOY comp'!K295</f>
        <v>0</v>
      </c>
      <c r="K286" s="1">
        <f>'FY21 w YOY comp'!O295</f>
        <v>0</v>
      </c>
      <c r="L286" s="1">
        <f>'FY21 w YOY comp'!P295</f>
        <v>0</v>
      </c>
      <c r="M286" s="1">
        <f>'FY21 w YOY comp'!Q295</f>
        <v>0</v>
      </c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hidden="1" customHeight="1" x14ac:dyDescent="0.25">
      <c r="A287" s="46" t="str">
        <f>'FY21 w YOY comp'!A296</f>
        <v xml:space="preserve">         5644 VBS Curriculum/Supplies</v>
      </c>
      <c r="B287" s="47">
        <f>'FY21 w YOY comp'!B296</f>
        <v>2396.5100000000002</v>
      </c>
      <c r="C287" s="47">
        <f>'FY21 w YOY comp'!C296</f>
        <v>1995.03</v>
      </c>
      <c r="D287" s="47">
        <f>'FY21 w YOY comp'!D296</f>
        <v>4061.84</v>
      </c>
      <c r="E287" s="47">
        <f>'FY21 w YOY comp'!E296</f>
        <v>4021.21</v>
      </c>
      <c r="F287" s="47">
        <f>'FY21 w YOY comp'!F296</f>
        <v>2605.2800000000002</v>
      </c>
      <c r="G287" s="47">
        <f>'FY21 w YOY comp'!G296</f>
        <v>264.98</v>
      </c>
      <c r="H287" s="22">
        <f>'FY21 w YOY comp'!I296</f>
        <v>5000</v>
      </c>
      <c r="I287" s="22">
        <f>'FY21 w YOY comp'!H296</f>
        <v>264.98</v>
      </c>
      <c r="J287" s="24">
        <f>'FY21 w YOY comp'!K296</f>
        <v>5000</v>
      </c>
      <c r="K287" s="1" t="str">
        <f>'FY21 w YOY comp'!O296</f>
        <v>tied directly to income line item</v>
      </c>
      <c r="L287" s="1">
        <f>'FY21 w YOY comp'!P296</f>
        <v>0</v>
      </c>
      <c r="M287" s="1">
        <f>'FY21 w YOY comp'!Q296</f>
        <v>0</v>
      </c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hidden="1" customHeight="1" x14ac:dyDescent="0.25">
      <c r="A288" s="46" t="str">
        <f>'FY21 w YOY comp'!A297</f>
        <v xml:space="preserve">         5645 VBS Food &amp; Luncheon Supplies</v>
      </c>
      <c r="B288" s="47">
        <f>'FY21 w YOY comp'!B297</f>
        <v>246.47</v>
      </c>
      <c r="C288" s="47">
        <f>'FY21 w YOY comp'!C297</f>
        <v>401.67</v>
      </c>
      <c r="D288" s="47">
        <f>'FY21 w YOY comp'!D297</f>
        <v>615.74</v>
      </c>
      <c r="E288" s="47">
        <f>'FY21 w YOY comp'!E297</f>
        <v>924.86</v>
      </c>
      <c r="F288" s="47">
        <f>'FY21 w YOY comp'!F297</f>
        <v>914.48</v>
      </c>
      <c r="G288" s="21">
        <f>'FY21 w YOY comp'!G297</f>
        <v>0</v>
      </c>
      <c r="H288" s="22">
        <f>'FY21 w YOY comp'!I297</f>
        <v>1000</v>
      </c>
      <c r="I288" s="22">
        <f>'FY21 w YOY comp'!H297</f>
        <v>0</v>
      </c>
      <c r="J288" s="24">
        <f>'FY21 w YOY comp'!K297</f>
        <v>0</v>
      </c>
      <c r="K288" s="1">
        <f>'FY21 w YOY comp'!O297</f>
        <v>0</v>
      </c>
      <c r="L288" s="1">
        <f>'FY21 w YOY comp'!P297</f>
        <v>0</v>
      </c>
      <c r="M288" s="1">
        <f>'FY21 w YOY comp'!Q297</f>
        <v>0</v>
      </c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hidden="1" customHeight="1" x14ac:dyDescent="0.25">
      <c r="A289" s="46" t="str">
        <f>'FY21 w YOY comp'!A298</f>
        <v xml:space="preserve">         5646 Misc Supplies</v>
      </c>
      <c r="B289" s="47">
        <f>'FY21 w YOY comp'!B298</f>
        <v>142.05000000000001</v>
      </c>
      <c r="C289" s="47">
        <f>'FY21 w YOY comp'!C298</f>
        <v>60.86</v>
      </c>
      <c r="D289" s="47">
        <f>'FY21 w YOY comp'!D298</f>
        <v>131.11000000000001</v>
      </c>
      <c r="E289" s="21">
        <f>'FY21 w YOY comp'!E298</f>
        <v>0</v>
      </c>
      <c r="F289" s="47">
        <f>'FY21 w YOY comp'!F298</f>
        <v>39.67</v>
      </c>
      <c r="G289" s="47">
        <f>'FY21 w YOY comp'!G298</f>
        <v>39.67</v>
      </c>
      <c r="H289" s="22">
        <f>'FY21 w YOY comp'!I298</f>
        <v>0</v>
      </c>
      <c r="I289" s="22">
        <f>'FY21 w YOY comp'!H298</f>
        <v>39.67</v>
      </c>
      <c r="J289" s="24">
        <f>'FY21 w YOY comp'!K298</f>
        <v>0</v>
      </c>
      <c r="K289" s="1">
        <f>'FY21 w YOY comp'!O298</f>
        <v>0</v>
      </c>
      <c r="L289" s="1">
        <f>'FY21 w YOY comp'!P298</f>
        <v>0</v>
      </c>
      <c r="M289" s="1">
        <f>'FY21 w YOY comp'!Q298</f>
        <v>0</v>
      </c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hidden="1" customHeight="1" x14ac:dyDescent="0.25">
      <c r="A290" s="46" t="str">
        <f>'FY21 w YOY comp'!A299</f>
        <v xml:space="preserve">         5648 VBS Graphics</v>
      </c>
      <c r="B290" s="47">
        <f>'FY21 w YOY comp'!B299</f>
        <v>232.81</v>
      </c>
      <c r="C290" s="47">
        <f>'FY21 w YOY comp'!C299</f>
        <v>119.97</v>
      </c>
      <c r="D290" s="47">
        <f>'FY21 w YOY comp'!D299</f>
        <v>322.52</v>
      </c>
      <c r="E290" s="47">
        <f>'FY21 w YOY comp'!E299</f>
        <v>85.61</v>
      </c>
      <c r="F290" s="22">
        <f>'FY21 w YOY comp'!F299</f>
        <v>0</v>
      </c>
      <c r="G290" s="21">
        <f>'FY21 w YOY comp'!G299</f>
        <v>0</v>
      </c>
      <c r="H290" s="22">
        <f>'FY21 w YOY comp'!I299</f>
        <v>100</v>
      </c>
      <c r="I290" s="22">
        <f>'FY21 w YOY comp'!H299</f>
        <v>0</v>
      </c>
      <c r="J290" s="24">
        <f>'FY21 w YOY comp'!K299</f>
        <v>0</v>
      </c>
      <c r="K290" s="1">
        <f>'FY21 w YOY comp'!O299</f>
        <v>0</v>
      </c>
      <c r="L290" s="1">
        <f>'FY21 w YOY comp'!P299</f>
        <v>0</v>
      </c>
      <c r="M290" s="1">
        <f>'FY21 w YOY comp'!Q299</f>
        <v>0</v>
      </c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hidden="1" customHeight="1" x14ac:dyDescent="0.25">
      <c r="A291" s="46" t="str">
        <f>'FY21 w YOY comp'!A300</f>
        <v xml:space="preserve">         5649 VBS Staff Shirts</v>
      </c>
      <c r="B291" s="21">
        <f>'FY21 w YOY comp'!B300</f>
        <v>0</v>
      </c>
      <c r="C291" s="47">
        <f>'FY21 w YOY comp'!C300</f>
        <v>80.86</v>
      </c>
      <c r="D291" s="47">
        <f>'FY21 w YOY comp'!D300</f>
        <v>345.61</v>
      </c>
      <c r="E291" s="47">
        <f>'FY21 w YOY comp'!E300</f>
        <v>252.99</v>
      </c>
      <c r="F291" s="22">
        <f>'FY21 w YOY comp'!F300</f>
        <v>0</v>
      </c>
      <c r="G291" s="21">
        <f>'FY21 w YOY comp'!G300</f>
        <v>0</v>
      </c>
      <c r="H291" s="22">
        <f>'FY21 w YOY comp'!I300</f>
        <v>0</v>
      </c>
      <c r="I291" s="22">
        <f>'FY21 w YOY comp'!H300</f>
        <v>0</v>
      </c>
      <c r="J291" s="24">
        <f>'FY21 w YOY comp'!K300</f>
        <v>0</v>
      </c>
      <c r="K291" s="1">
        <f>'FY21 w YOY comp'!O300</f>
        <v>0</v>
      </c>
      <c r="L291" s="1">
        <f>'FY21 w YOY comp'!P300</f>
        <v>0</v>
      </c>
      <c r="M291" s="1">
        <f>'FY21 w YOY comp'!Q300</f>
        <v>0</v>
      </c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hidden="1" customHeight="1" x14ac:dyDescent="0.25">
      <c r="A292" s="122" t="str">
        <f>'FY21 w YOY comp'!A301</f>
        <v xml:space="preserve">      Total 5640 Children's</v>
      </c>
      <c r="B292" s="178">
        <f>'FY21 w YOY comp'!B301</f>
        <v>3064.03</v>
      </c>
      <c r="C292" s="178">
        <f>'FY21 w YOY comp'!C301</f>
        <v>2658.39</v>
      </c>
      <c r="D292" s="178">
        <f>'FY21 w YOY comp'!D301</f>
        <v>5928.0099999999993</v>
      </c>
      <c r="E292" s="178">
        <f>'FY21 w YOY comp'!E301</f>
        <v>5986.1699999999992</v>
      </c>
      <c r="F292" s="178">
        <f>'FY21 w YOY comp'!F301</f>
        <v>4103.12</v>
      </c>
      <c r="G292" s="178">
        <f>'FY21 w YOY comp'!G301</f>
        <v>767.04</v>
      </c>
      <c r="H292" s="178">
        <f>'FY21 w YOY comp'!I301</f>
        <v>6450</v>
      </c>
      <c r="I292" s="178">
        <f>'FY21 w YOY comp'!H301</f>
        <v>767.04</v>
      </c>
      <c r="J292" s="180">
        <f>'FY21 w YOY comp'!K301</f>
        <v>5300</v>
      </c>
      <c r="K292" s="131">
        <f>'FY21 w YOY comp'!O301</f>
        <v>0</v>
      </c>
      <c r="L292" s="131">
        <f>'FY21 w YOY comp'!P301</f>
        <v>0</v>
      </c>
      <c r="M292" s="131">
        <f>'FY21 w YOY comp'!Q301</f>
        <v>0</v>
      </c>
      <c r="N292" s="131"/>
      <c r="O292" s="131"/>
      <c r="P292" s="131"/>
      <c r="Q292" s="131"/>
      <c r="R292" s="131"/>
      <c r="S292" s="131"/>
      <c r="T292" s="131"/>
      <c r="U292" s="131"/>
      <c r="V292" s="131"/>
      <c r="W292" s="131"/>
      <c r="X292" s="131"/>
      <c r="Y292" s="131"/>
      <c r="Z292" s="131"/>
      <c r="AA292" s="131"/>
    </row>
    <row r="293" spans="1:27" ht="15.75" hidden="1" customHeight="1" x14ac:dyDescent="0.25">
      <c r="A293" s="122" t="str">
        <f>'FY21 w YOY comp'!A302</f>
        <v xml:space="preserve">      5650 Bibles for Distribution</v>
      </c>
      <c r="B293" s="123">
        <f>'FY21 w YOY comp'!B302</f>
        <v>40.590000000000003</v>
      </c>
      <c r="C293" s="123">
        <f>'FY21 w YOY comp'!C302</f>
        <v>221.19</v>
      </c>
      <c r="D293" s="123">
        <f>'FY21 w YOY comp'!D302</f>
        <v>246.59</v>
      </c>
      <c r="E293" s="123">
        <f>'FY21 w YOY comp'!E302</f>
        <v>135.75</v>
      </c>
      <c r="F293" s="123">
        <f>'FY21 w YOY comp'!F302</f>
        <v>85.96</v>
      </c>
      <c r="G293" s="123">
        <f>'FY21 w YOY comp'!G302</f>
        <v>85.96</v>
      </c>
      <c r="H293" s="124">
        <f>'FY21 w YOY comp'!I302</f>
        <v>100</v>
      </c>
      <c r="I293" s="124">
        <f>'FY21 w YOY comp'!H302</f>
        <v>85.96</v>
      </c>
      <c r="J293" s="127">
        <f>'FY21 w YOY comp'!K302</f>
        <v>88</v>
      </c>
      <c r="K293" s="131" t="str">
        <f>'FY21 w YOY comp'!O302</f>
        <v>Sparks Bibles</v>
      </c>
      <c r="L293" s="131">
        <f>'FY21 w YOY comp'!P302</f>
        <v>0</v>
      </c>
      <c r="M293" s="131">
        <f>'FY21 w YOY comp'!Q302</f>
        <v>0</v>
      </c>
      <c r="N293" s="131"/>
      <c r="O293" s="131"/>
      <c r="P293" s="131"/>
      <c r="Q293" s="131"/>
      <c r="R293" s="131"/>
      <c r="S293" s="131"/>
      <c r="T293" s="131"/>
      <c r="U293" s="131"/>
      <c r="V293" s="131"/>
      <c r="W293" s="131"/>
      <c r="X293" s="131"/>
      <c r="Y293" s="131"/>
      <c r="Z293" s="131"/>
      <c r="AA293" s="131"/>
    </row>
    <row r="294" spans="1:27" ht="15.75" customHeight="1" x14ac:dyDescent="0.25">
      <c r="A294" s="217" t="str">
        <f>'FY21 w YOY comp'!A303</f>
        <v xml:space="preserve">   Total 5600 Education-Growth</v>
      </c>
      <c r="B294" s="218">
        <f>'FY21 w YOY comp'!B303</f>
        <v>4123.1900000000005</v>
      </c>
      <c r="C294" s="218">
        <f>'FY21 w YOY comp'!C303</f>
        <v>6114.4999999999991</v>
      </c>
      <c r="D294" s="218">
        <f>'FY21 w YOY comp'!D303</f>
        <v>11231.02</v>
      </c>
      <c r="E294" s="218">
        <f>'FY21 w YOY comp'!E303</f>
        <v>8061.3799999999992</v>
      </c>
      <c r="F294" s="218">
        <f>'FY21 w YOY comp'!F303</f>
        <v>4772.8599999999997</v>
      </c>
      <c r="G294" s="218">
        <f>'FY21 w YOY comp'!G303</f>
        <v>1989.9499999999998</v>
      </c>
      <c r="H294" s="218">
        <f>'FY21 w YOY comp'!I303</f>
        <v>8600</v>
      </c>
      <c r="I294" s="218">
        <f>'FY21 w YOY comp'!H303</f>
        <v>1989.9499999999998</v>
      </c>
      <c r="J294" s="220">
        <f>'FY21 w YOY comp'!K303</f>
        <v>6975</v>
      </c>
      <c r="K294" s="224">
        <f>'FY21 w YOY comp'!O303</f>
        <v>0</v>
      </c>
      <c r="L294" s="224">
        <f>'FY21 w YOY comp'!P303</f>
        <v>0</v>
      </c>
      <c r="M294" s="224">
        <f>'FY21 w YOY comp'!Q303</f>
        <v>0</v>
      </c>
      <c r="N294" s="224"/>
      <c r="O294" s="224"/>
      <c r="P294" s="224"/>
      <c r="Q294" s="224"/>
      <c r="R294" s="224"/>
      <c r="S294" s="224"/>
      <c r="T294" s="224"/>
      <c r="U294" s="224"/>
      <c r="V294" s="224"/>
      <c r="W294" s="224"/>
      <c r="X294" s="224"/>
      <c r="Y294" s="224"/>
      <c r="Z294" s="224"/>
      <c r="AA294" s="224"/>
    </row>
    <row r="295" spans="1:27" ht="15.75" hidden="1" customHeight="1" x14ac:dyDescent="0.25">
      <c r="A295" s="20">
        <f>'FY21 w YOY comp'!A304</f>
        <v>0</v>
      </c>
      <c r="B295" s="47">
        <f>'FY21 w YOY comp'!B304</f>
        <v>0</v>
      </c>
      <c r="C295" s="21">
        <f>'FY21 w YOY comp'!C304</f>
        <v>0</v>
      </c>
      <c r="D295" s="21">
        <f>'FY21 w YOY comp'!D304</f>
        <v>0</v>
      </c>
      <c r="E295" s="21">
        <f>'FY21 w YOY comp'!E304</f>
        <v>0</v>
      </c>
      <c r="F295" s="22">
        <f>'FY21 w YOY comp'!F304</f>
        <v>0</v>
      </c>
      <c r="G295" s="21">
        <f>'FY21 w YOY comp'!G304</f>
        <v>0</v>
      </c>
      <c r="H295" s="22">
        <f>'FY21 w YOY comp'!I304</f>
        <v>0</v>
      </c>
      <c r="I295" s="22">
        <f>'FY21 w YOY comp'!H304</f>
        <v>0</v>
      </c>
      <c r="J295" s="24">
        <f>'FY21 w YOY comp'!K304</f>
        <v>0</v>
      </c>
      <c r="K295" s="1">
        <f>'FY21 w YOY comp'!O304</f>
        <v>0</v>
      </c>
      <c r="L295" s="1">
        <f>'FY21 w YOY comp'!P304</f>
        <v>0</v>
      </c>
      <c r="M295" s="1">
        <f>'FY21 w YOY comp'!Q304</f>
        <v>0</v>
      </c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hidden="1" customHeight="1" x14ac:dyDescent="0.25">
      <c r="A296" s="122" t="str">
        <f>'FY21 w YOY comp'!A305</f>
        <v xml:space="preserve">   5700 Fellowship</v>
      </c>
      <c r="B296" s="123">
        <f>'FY21 w YOY comp'!B305</f>
        <v>122.02</v>
      </c>
      <c r="C296" s="125">
        <f>'FY21 w YOY comp'!C305</f>
        <v>0</v>
      </c>
      <c r="D296" s="125">
        <f>'FY21 w YOY comp'!D305</f>
        <v>0</v>
      </c>
      <c r="E296" s="125">
        <f>'FY21 w YOY comp'!E305</f>
        <v>0</v>
      </c>
      <c r="F296" s="124">
        <f>'FY21 w YOY comp'!F305</f>
        <v>0</v>
      </c>
      <c r="G296" s="125">
        <f>'FY21 w YOY comp'!G305</f>
        <v>0</v>
      </c>
      <c r="H296" s="124">
        <f>'FY21 w YOY comp'!I305</f>
        <v>0</v>
      </c>
      <c r="I296" s="124">
        <f>'FY21 w YOY comp'!H305</f>
        <v>0</v>
      </c>
      <c r="J296" s="127">
        <f>'FY21 w YOY comp'!K305</f>
        <v>0</v>
      </c>
      <c r="K296" s="131">
        <f>'FY21 w YOY comp'!O305</f>
        <v>0</v>
      </c>
      <c r="L296" s="131">
        <f>'FY21 w YOY comp'!P305</f>
        <v>0</v>
      </c>
      <c r="M296" s="131">
        <f>'FY21 w YOY comp'!Q305</f>
        <v>0</v>
      </c>
      <c r="N296" s="131"/>
      <c r="O296" s="131"/>
      <c r="P296" s="131"/>
      <c r="Q296" s="131"/>
      <c r="R296" s="131"/>
      <c r="S296" s="131"/>
      <c r="T296" s="131"/>
      <c r="U296" s="131"/>
      <c r="V296" s="131"/>
      <c r="W296" s="131"/>
      <c r="X296" s="131"/>
      <c r="Y296" s="131"/>
      <c r="Z296" s="131"/>
      <c r="AA296" s="131"/>
    </row>
    <row r="297" spans="1:27" ht="15.75" hidden="1" customHeight="1" x14ac:dyDescent="0.25">
      <c r="A297" s="122" t="str">
        <f>'FY21 w YOY comp'!A306</f>
        <v xml:space="preserve">      5710 Sunday Supplies</v>
      </c>
      <c r="B297" s="123">
        <f>'FY21 w YOY comp'!B306</f>
        <v>61.39</v>
      </c>
      <c r="C297" s="123">
        <f>'FY21 w YOY comp'!C306</f>
        <v>222</v>
      </c>
      <c r="D297" s="123">
        <f>'FY21 w YOY comp'!D306</f>
        <v>62.32</v>
      </c>
      <c r="E297" s="123">
        <f>'FY21 w YOY comp'!E306</f>
        <v>216.83</v>
      </c>
      <c r="F297" s="123">
        <f>'FY21 w YOY comp'!F306</f>
        <v>91.44</v>
      </c>
      <c r="G297" s="123">
        <f>'FY21 w YOY comp'!G306</f>
        <v>78.959999999999994</v>
      </c>
      <c r="H297" s="124">
        <f>'FY21 w YOY comp'!I306</f>
        <v>225</v>
      </c>
      <c r="I297" s="124">
        <f>'FY21 w YOY comp'!H306</f>
        <v>78.959999999999994</v>
      </c>
      <c r="J297" s="127">
        <f>'FY21 w YOY comp'!K306</f>
        <v>150</v>
      </c>
      <c r="K297" s="131">
        <f>'FY21 w YOY comp'!O306</f>
        <v>0</v>
      </c>
      <c r="L297" s="131">
        <f>'FY21 w YOY comp'!P306</f>
        <v>0</v>
      </c>
      <c r="M297" s="131">
        <f>'FY21 w YOY comp'!Q306</f>
        <v>0</v>
      </c>
      <c r="N297" s="131"/>
      <c r="O297" s="131"/>
      <c r="P297" s="131"/>
      <c r="Q297" s="131"/>
      <c r="R297" s="131"/>
      <c r="S297" s="131"/>
      <c r="T297" s="131"/>
      <c r="U297" s="131"/>
      <c r="V297" s="131"/>
      <c r="W297" s="131"/>
      <c r="X297" s="131"/>
      <c r="Y297" s="131"/>
      <c r="Z297" s="131"/>
      <c r="AA297" s="131"/>
    </row>
    <row r="298" spans="1:27" ht="15.75" hidden="1" customHeight="1" x14ac:dyDescent="0.25">
      <c r="A298" s="122" t="str">
        <f>'FY21 w YOY comp'!A307</f>
        <v xml:space="preserve">      5720 Sunday Coffee Supplies</v>
      </c>
      <c r="B298" s="125">
        <f>'FY21 w YOY comp'!B307</f>
        <v>0</v>
      </c>
      <c r="C298" s="123">
        <f>'FY21 w YOY comp'!C307</f>
        <v>378.1</v>
      </c>
      <c r="D298" s="123">
        <f>'FY21 w YOY comp'!D307</f>
        <v>821.35</v>
      </c>
      <c r="E298" s="123">
        <f>'FY21 w YOY comp'!E307</f>
        <v>536.4</v>
      </c>
      <c r="F298" s="123">
        <f>'FY21 w YOY comp'!F307</f>
        <v>240.55</v>
      </c>
      <c r="G298" s="123">
        <f>'FY21 w YOY comp'!G307</f>
        <v>108.59</v>
      </c>
      <c r="H298" s="124">
        <f>'FY21 w YOY comp'!I307</f>
        <v>125</v>
      </c>
      <c r="I298" s="124">
        <f>'FY21 w YOY comp'!H307</f>
        <v>108.59</v>
      </c>
      <c r="J298" s="127">
        <f>'FY21 w YOY comp'!K307</f>
        <v>250</v>
      </c>
      <c r="K298" s="131">
        <f>'FY21 w YOY comp'!O307</f>
        <v>0</v>
      </c>
      <c r="L298" s="131">
        <f>'FY21 w YOY comp'!P307</f>
        <v>0</v>
      </c>
      <c r="M298" s="131">
        <f>'FY21 w YOY comp'!Q307</f>
        <v>0</v>
      </c>
      <c r="N298" s="131"/>
      <c r="O298" s="131"/>
      <c r="P298" s="131"/>
      <c r="Q298" s="131"/>
      <c r="R298" s="131"/>
      <c r="S298" s="131"/>
      <c r="T298" s="131"/>
      <c r="U298" s="131"/>
      <c r="V298" s="131"/>
      <c r="W298" s="131"/>
      <c r="X298" s="131"/>
      <c r="Y298" s="131"/>
      <c r="Z298" s="131"/>
      <c r="AA298" s="131"/>
    </row>
    <row r="299" spans="1:27" ht="15.75" hidden="1" customHeight="1" x14ac:dyDescent="0.25">
      <c r="A299" s="122" t="str">
        <f>'FY21 w YOY comp'!A308</f>
        <v xml:space="preserve">      5730 Special Events</v>
      </c>
      <c r="B299" s="123">
        <f>'FY21 w YOY comp'!B308</f>
        <v>175.74</v>
      </c>
      <c r="C299" s="123">
        <f>'FY21 w YOY comp'!C308</f>
        <v>787.08</v>
      </c>
      <c r="D299" s="123">
        <f>'FY21 w YOY comp'!D308</f>
        <v>281.07</v>
      </c>
      <c r="E299" s="123">
        <f>'FY21 w YOY comp'!E308</f>
        <v>1208</v>
      </c>
      <c r="F299" s="123">
        <f>'FY21 w YOY comp'!F308</f>
        <v>64.099999999999994</v>
      </c>
      <c r="G299" s="123">
        <f>'FY21 w YOY comp'!G308</f>
        <v>59.1</v>
      </c>
      <c r="H299" s="124">
        <f>'FY21 w YOY comp'!I308</f>
        <v>200</v>
      </c>
      <c r="I299" s="124">
        <f>'FY21 w YOY comp'!H308</f>
        <v>59.1</v>
      </c>
      <c r="J299" s="127">
        <f>'FY21 w YOY comp'!K308</f>
        <v>500</v>
      </c>
      <c r="K299" s="131" t="str">
        <f>'FY21 w YOY comp'!O308</f>
        <v>1 event @ $150 each quarter. (Christmas by Candlelight in its own line item 5522).</v>
      </c>
      <c r="L299" s="131">
        <f>'FY21 w YOY comp'!P308</f>
        <v>0</v>
      </c>
      <c r="M299" s="131">
        <f>'FY21 w YOY comp'!Q308</f>
        <v>0</v>
      </c>
      <c r="N299" s="131"/>
      <c r="O299" s="131"/>
      <c r="P299" s="131"/>
      <c r="Q299" s="131"/>
      <c r="R299" s="131"/>
      <c r="S299" s="131"/>
      <c r="T299" s="131"/>
      <c r="U299" s="131"/>
      <c r="V299" s="131"/>
      <c r="W299" s="131"/>
      <c r="X299" s="131"/>
      <c r="Y299" s="131"/>
      <c r="Z299" s="131"/>
      <c r="AA299" s="131"/>
    </row>
    <row r="300" spans="1:27" ht="15.75" hidden="1" customHeight="1" x14ac:dyDescent="0.25">
      <c r="A300" s="122" t="str">
        <f>'FY21 w YOY comp'!A309</f>
        <v xml:space="preserve">      5740 Sam's Club Membership</v>
      </c>
      <c r="B300" s="125">
        <f>'FY21 w YOY comp'!B309</f>
        <v>0</v>
      </c>
      <c r="C300" s="123">
        <f>'FY21 w YOY comp'!C309</f>
        <v>22.5</v>
      </c>
      <c r="D300" s="123">
        <f>'FY21 w YOY comp'!D309</f>
        <v>22.5</v>
      </c>
      <c r="E300" s="123">
        <f>'FY21 w YOY comp'!E309</f>
        <v>22.5</v>
      </c>
      <c r="F300" s="123">
        <f>'FY21 w YOY comp'!F309</f>
        <v>22.5</v>
      </c>
      <c r="G300" s="123">
        <f>'FY21 w YOY comp'!G309</f>
        <v>22.5</v>
      </c>
      <c r="H300" s="124">
        <f>'FY21 w YOY comp'!I309</f>
        <v>25</v>
      </c>
      <c r="I300" s="124">
        <f>'FY21 w YOY comp'!H309</f>
        <v>22.5</v>
      </c>
      <c r="J300" s="127">
        <f>'FY21 w YOY comp'!K309</f>
        <v>45</v>
      </c>
      <c r="K300" s="131">
        <f>'FY21 w YOY comp'!O309</f>
        <v>0</v>
      </c>
      <c r="L300" s="131">
        <f>'FY21 w YOY comp'!P309</f>
        <v>0</v>
      </c>
      <c r="M300" s="131">
        <f>'FY21 w YOY comp'!Q309</f>
        <v>0</v>
      </c>
      <c r="N300" s="131"/>
      <c r="O300" s="131"/>
      <c r="P300" s="131"/>
      <c r="Q300" s="131"/>
      <c r="R300" s="131"/>
      <c r="S300" s="131"/>
      <c r="T300" s="131"/>
      <c r="U300" s="131"/>
      <c r="V300" s="131"/>
      <c r="W300" s="131"/>
      <c r="X300" s="131"/>
      <c r="Y300" s="131"/>
      <c r="Z300" s="131"/>
      <c r="AA300" s="131"/>
    </row>
    <row r="301" spans="1:27" ht="15.75" customHeight="1" x14ac:dyDescent="0.25">
      <c r="A301" s="217" t="str">
        <f>'FY21 w YOY comp'!A310</f>
        <v xml:space="preserve">   Total 5700 Fellowship</v>
      </c>
      <c r="B301" s="218">
        <f>'FY21 w YOY comp'!B310</f>
        <v>359.15</v>
      </c>
      <c r="C301" s="218">
        <f>'FY21 w YOY comp'!C310</f>
        <v>1409.68</v>
      </c>
      <c r="D301" s="218">
        <f>'FY21 w YOY comp'!D310</f>
        <v>1187.24</v>
      </c>
      <c r="E301" s="218">
        <f>'FY21 w YOY comp'!E310</f>
        <v>1983.73</v>
      </c>
      <c r="F301" s="218">
        <f>'FY21 w YOY comp'!F310</f>
        <v>418.59000000000003</v>
      </c>
      <c r="G301" s="218">
        <f>'FY21 w YOY comp'!G310</f>
        <v>269.14999999999998</v>
      </c>
      <c r="H301" s="218">
        <f>'FY21 w YOY comp'!I310</f>
        <v>575</v>
      </c>
      <c r="I301" s="218">
        <f>'FY21 w YOY comp'!H310</f>
        <v>269.14999999999998</v>
      </c>
      <c r="J301" s="220">
        <f>'FY21 w YOY comp'!K310</f>
        <v>945</v>
      </c>
      <c r="K301" s="224">
        <f>'FY21 w YOY comp'!O310</f>
        <v>0</v>
      </c>
      <c r="L301" s="224">
        <f>'FY21 w YOY comp'!P310</f>
        <v>0</v>
      </c>
      <c r="M301" s="224">
        <f>'FY21 w YOY comp'!Q310</f>
        <v>0</v>
      </c>
      <c r="N301" s="224"/>
      <c r="O301" s="224"/>
      <c r="P301" s="224"/>
      <c r="Q301" s="224"/>
      <c r="R301" s="224"/>
      <c r="S301" s="224"/>
      <c r="T301" s="224"/>
      <c r="U301" s="224"/>
      <c r="V301" s="224"/>
      <c r="W301" s="224"/>
      <c r="X301" s="224"/>
      <c r="Y301" s="224"/>
      <c r="Z301" s="224"/>
      <c r="AA301" s="224"/>
    </row>
    <row r="302" spans="1:27" ht="15.75" hidden="1" customHeight="1" x14ac:dyDescent="0.25">
      <c r="A302" s="20">
        <f>'FY21 w YOY comp'!A311</f>
        <v>0</v>
      </c>
      <c r="B302" s="21">
        <f>'FY21 w YOY comp'!B311</f>
        <v>0</v>
      </c>
      <c r="C302" s="21">
        <f>'FY21 w YOY comp'!C311</f>
        <v>0</v>
      </c>
      <c r="D302" s="21">
        <f>'FY21 w YOY comp'!D311</f>
        <v>0</v>
      </c>
      <c r="E302" s="21">
        <f>'FY21 w YOY comp'!E311</f>
        <v>0</v>
      </c>
      <c r="F302" s="22">
        <f>'FY21 w YOY comp'!F311</f>
        <v>0</v>
      </c>
      <c r="G302" s="21">
        <f>'FY21 w YOY comp'!G311</f>
        <v>0</v>
      </c>
      <c r="H302" s="22">
        <f>'FY21 w YOY comp'!I311</f>
        <v>0</v>
      </c>
      <c r="I302" s="22">
        <f>'FY21 w YOY comp'!H311</f>
        <v>0</v>
      </c>
      <c r="J302" s="24">
        <f>'FY21 w YOY comp'!K311</f>
        <v>0</v>
      </c>
      <c r="K302" s="1">
        <f>'FY21 w YOY comp'!O311</f>
        <v>0</v>
      </c>
      <c r="L302" s="1">
        <f>'FY21 w YOY comp'!P311</f>
        <v>0</v>
      </c>
      <c r="M302" s="1">
        <f>'FY21 w YOY comp'!Q311</f>
        <v>0</v>
      </c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hidden="1" customHeight="1" x14ac:dyDescent="0.25">
      <c r="A303" s="48" t="str">
        <f>'FY21 w YOY comp'!A312</f>
        <v xml:space="preserve">   5800 Generosity Program</v>
      </c>
      <c r="B303" s="49">
        <f>'FY21 w YOY comp'!B312</f>
        <v>0</v>
      </c>
      <c r="C303" s="49">
        <f>'FY21 w YOY comp'!C312</f>
        <v>0</v>
      </c>
      <c r="D303" s="49">
        <f>'FY21 w YOY comp'!D312</f>
        <v>0</v>
      </c>
      <c r="E303" s="49">
        <f>'FY21 w YOY comp'!E312</f>
        <v>0</v>
      </c>
      <c r="F303" s="55">
        <f>'FY21 w YOY comp'!F312</f>
        <v>0</v>
      </c>
      <c r="G303" s="49">
        <f>'FY21 w YOY comp'!G312</f>
        <v>0</v>
      </c>
      <c r="H303" s="55">
        <f>'FY21 w YOY comp'!I312</f>
        <v>0</v>
      </c>
      <c r="I303" s="55">
        <f>'FY21 w YOY comp'!H312</f>
        <v>0</v>
      </c>
      <c r="J303" s="73">
        <f>'FY21 w YOY comp'!K312</f>
        <v>0</v>
      </c>
      <c r="K303" s="53">
        <f>'FY21 w YOY comp'!O312</f>
        <v>0</v>
      </c>
      <c r="L303" s="53">
        <f>'FY21 w YOY comp'!P312</f>
        <v>0</v>
      </c>
      <c r="M303" s="53">
        <f>'FY21 w YOY comp'!Q312</f>
        <v>0</v>
      </c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hidden="1" customHeight="1" x14ac:dyDescent="0.25">
      <c r="A304" s="48" t="str">
        <f>'FY21 w YOY comp'!A313</f>
        <v xml:space="preserve">      5810 Stewardship Drive Consultant Fee</v>
      </c>
      <c r="B304" s="49">
        <f>'FY21 w YOY comp'!B313</f>
        <v>0</v>
      </c>
      <c r="C304" s="49">
        <f>'FY21 w YOY comp'!C313</f>
        <v>0</v>
      </c>
      <c r="D304" s="49">
        <f>'FY21 w YOY comp'!D313</f>
        <v>0</v>
      </c>
      <c r="E304" s="49">
        <f>'FY21 w YOY comp'!E313</f>
        <v>0</v>
      </c>
      <c r="F304" s="50">
        <f>'FY21 w YOY comp'!F313</f>
        <v>4000</v>
      </c>
      <c r="G304" s="50">
        <f>'FY21 w YOY comp'!G313</f>
        <v>10000</v>
      </c>
      <c r="H304" s="22">
        <f>'FY21 w YOY comp'!I313</f>
        <v>10000</v>
      </c>
      <c r="I304" s="22">
        <f>'FY21 w YOY comp'!H313</f>
        <v>10000</v>
      </c>
      <c r="J304" s="73">
        <f>'FY21 w YOY comp'!K313</f>
        <v>19500</v>
      </c>
      <c r="K304" s="53" t="str">
        <f>'FY21 w YOY comp'!O313</f>
        <v>Revised to delay fee with AiH delay (Budget of $19,500; +$4000 fee for delay)</v>
      </c>
      <c r="L304" s="53">
        <f>'FY21 w YOY comp'!P313</f>
        <v>0</v>
      </c>
      <c r="M304" s="53">
        <f>'FY21 w YOY comp'!Q313</f>
        <v>0</v>
      </c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hidden="1" customHeight="1" x14ac:dyDescent="0.25">
      <c r="A305" s="48" t="str">
        <f>'FY21 w YOY comp'!A314</f>
        <v xml:space="preserve">      5820 Presentation Materials</v>
      </c>
      <c r="B305" s="49">
        <f>'FY21 w YOY comp'!B314</f>
        <v>0</v>
      </c>
      <c r="C305" s="50">
        <f>'FY21 w YOY comp'!C314</f>
        <v>343.36</v>
      </c>
      <c r="D305" s="49">
        <f>'FY21 w YOY comp'!D314</f>
        <v>0</v>
      </c>
      <c r="E305" s="49">
        <f>'FY21 w YOY comp'!E314</f>
        <v>0</v>
      </c>
      <c r="F305" s="55">
        <f>'FY21 w YOY comp'!F314</f>
        <v>0</v>
      </c>
      <c r="G305" s="49">
        <f>'FY21 w YOY comp'!G314</f>
        <v>0</v>
      </c>
      <c r="H305" s="22">
        <f>'FY21 w YOY comp'!I314</f>
        <v>0</v>
      </c>
      <c r="I305" s="55">
        <f>'FY21 w YOY comp'!H314</f>
        <v>0</v>
      </c>
      <c r="J305" s="73">
        <f>'FY21 w YOY comp'!K314</f>
        <v>350</v>
      </c>
      <c r="K305" s="53" t="str">
        <f>'FY21 w YOY comp'!O314</f>
        <v>These are fees associated with the annual Generosity program, not the capital campaign</v>
      </c>
      <c r="L305" s="53">
        <f>'FY21 w YOY comp'!P314</f>
        <v>0</v>
      </c>
      <c r="M305" s="53">
        <f>'FY21 w YOY comp'!Q314</f>
        <v>0</v>
      </c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hidden="1" customHeight="1" x14ac:dyDescent="0.25">
      <c r="A306" s="48" t="str">
        <f>'FY21 w YOY comp'!A315</f>
        <v xml:space="preserve">      5830 Presenter Training Sessions (deleted)</v>
      </c>
      <c r="B306" s="49">
        <f>'FY21 w YOY comp'!B315</f>
        <v>0</v>
      </c>
      <c r="C306" s="50">
        <f>'FY21 w YOY comp'!C315</f>
        <v>37.46</v>
      </c>
      <c r="D306" s="49">
        <f>'FY21 w YOY comp'!D315</f>
        <v>0</v>
      </c>
      <c r="E306" s="49">
        <f>'FY21 w YOY comp'!E315</f>
        <v>0</v>
      </c>
      <c r="F306" s="55">
        <f>'FY21 w YOY comp'!F315</f>
        <v>0</v>
      </c>
      <c r="G306" s="49">
        <f>'FY21 w YOY comp'!G315</f>
        <v>0</v>
      </c>
      <c r="H306" s="22">
        <f>'FY21 w YOY comp'!I315</f>
        <v>0</v>
      </c>
      <c r="I306" s="55">
        <f>'FY21 w YOY comp'!H315</f>
        <v>0</v>
      </c>
      <c r="J306" s="73">
        <f>'FY21 w YOY comp'!K315</f>
        <v>0</v>
      </c>
      <c r="K306" s="53" t="str">
        <f>'FY21 w YOY comp'!O315</f>
        <v>These are fees associated with the annual Generosity program, not the capital campaign</v>
      </c>
      <c r="L306" s="53">
        <f>'FY21 w YOY comp'!P315</f>
        <v>0</v>
      </c>
      <c r="M306" s="53">
        <f>'FY21 w YOY comp'!Q315</f>
        <v>0</v>
      </c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hidden="1" customHeight="1" x14ac:dyDescent="0.25">
      <c r="A307" s="48" t="str">
        <f>'FY21 w YOY comp'!A316</f>
        <v xml:space="preserve">      5850 Pledge Material Production</v>
      </c>
      <c r="B307" s="49">
        <f>'FY21 w YOY comp'!B316</f>
        <v>0</v>
      </c>
      <c r="C307" s="50">
        <f>'FY21 w YOY comp'!C316</f>
        <v>200</v>
      </c>
      <c r="D307" s="49">
        <f>'FY21 w YOY comp'!D316</f>
        <v>0</v>
      </c>
      <c r="E307" s="49">
        <f>'FY21 w YOY comp'!E316</f>
        <v>0</v>
      </c>
      <c r="F307" s="55">
        <f>'FY21 w YOY comp'!F316</f>
        <v>0</v>
      </c>
      <c r="G307" s="49">
        <f>'FY21 w YOY comp'!G316</f>
        <v>349.15</v>
      </c>
      <c r="H307" s="22">
        <f>'FY21 w YOY comp'!I316</f>
        <v>500</v>
      </c>
      <c r="I307" s="55">
        <f>'FY21 w YOY comp'!H316</f>
        <v>349.15</v>
      </c>
      <c r="J307" s="73">
        <f>'FY21 w YOY comp'!K316</f>
        <v>300</v>
      </c>
      <c r="K307" s="53" t="str">
        <f>'FY21 w YOY comp'!O316</f>
        <v>These are fees associated with the annual Generosity program, not the capital campaign</v>
      </c>
      <c r="L307" s="53">
        <f>'FY21 w YOY comp'!P316</f>
        <v>0</v>
      </c>
      <c r="M307" s="53">
        <f>'FY21 w YOY comp'!Q316</f>
        <v>0</v>
      </c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hidden="1" customHeight="1" x14ac:dyDescent="0.25">
      <c r="A308" s="48" t="str">
        <f>'FY21 w YOY comp'!A317</f>
        <v xml:space="preserve">      5860 Postage &amp; Delivery</v>
      </c>
      <c r="B308" s="49">
        <f>'FY21 w YOY comp'!B317</f>
        <v>0</v>
      </c>
      <c r="C308" s="50">
        <f>'FY21 w YOY comp'!C317</f>
        <v>98</v>
      </c>
      <c r="D308" s="50">
        <f>'FY21 w YOY comp'!D317</f>
        <v>6.84</v>
      </c>
      <c r="E308" s="49">
        <f>'FY21 w YOY comp'!E317</f>
        <v>0</v>
      </c>
      <c r="F308" s="55">
        <f>'FY21 w YOY comp'!F317</f>
        <v>0</v>
      </c>
      <c r="G308" s="49">
        <f>'FY21 w YOY comp'!G317</f>
        <v>11.85</v>
      </c>
      <c r="H308" s="22">
        <f>'FY21 w YOY comp'!I317</f>
        <v>0</v>
      </c>
      <c r="I308" s="55">
        <f>'FY21 w YOY comp'!H317</f>
        <v>11.85</v>
      </c>
      <c r="J308" s="73">
        <f>'FY21 w YOY comp'!K317</f>
        <v>200</v>
      </c>
      <c r="K308" s="53" t="str">
        <f>'FY21 w YOY comp'!O317</f>
        <v>These are fees associated with the annual Generosity program, not the capital campaign</v>
      </c>
      <c r="L308" s="53">
        <f>'FY21 w YOY comp'!P317</f>
        <v>0</v>
      </c>
      <c r="M308" s="53">
        <f>'FY21 w YOY comp'!Q317</f>
        <v>0</v>
      </c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hidden="1" customHeight="1" x14ac:dyDescent="0.25">
      <c r="A309" s="48" t="str">
        <f>'FY21 w YOY comp'!A318</f>
        <v xml:space="preserve">      5870 Stewardship Drive Celebration</v>
      </c>
      <c r="B309" s="49">
        <f>'FY21 w YOY comp'!B318</f>
        <v>0</v>
      </c>
      <c r="C309" s="50">
        <f>'FY21 w YOY comp'!C318</f>
        <v>0</v>
      </c>
      <c r="D309" s="50">
        <f>'FY21 w YOY comp'!D318</f>
        <v>0</v>
      </c>
      <c r="E309" s="49">
        <f>'FY21 w YOY comp'!E318</f>
        <v>0</v>
      </c>
      <c r="F309" s="55">
        <f>'FY21 w YOY comp'!F318</f>
        <v>0</v>
      </c>
      <c r="G309" s="49">
        <f>'FY21 w YOY comp'!G318</f>
        <v>0</v>
      </c>
      <c r="H309" s="22">
        <f>'FY21 w YOY comp'!I318</f>
        <v>500</v>
      </c>
      <c r="I309" s="55">
        <f>'FY21 w YOY comp'!H318</f>
        <v>0</v>
      </c>
      <c r="J309" s="24">
        <f>'FY21 w YOY comp'!K318</f>
        <v>0</v>
      </c>
      <c r="K309" s="53">
        <f>'FY21 w YOY comp'!O318</f>
        <v>0</v>
      </c>
      <c r="L309" s="53">
        <f>'FY21 w YOY comp'!P318</f>
        <v>0</v>
      </c>
      <c r="M309" s="53">
        <f>'FY21 w YOY comp'!Q318</f>
        <v>0</v>
      </c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25">
      <c r="A310" s="217" t="str">
        <f>'FY21 w YOY comp'!A319</f>
        <v xml:space="preserve">   Total 5800 Generosity Program</v>
      </c>
      <c r="B310" s="218">
        <f>'FY21 w YOY comp'!B319</f>
        <v>0</v>
      </c>
      <c r="C310" s="218">
        <f>'FY21 w YOY comp'!C319</f>
        <v>678.81999999999994</v>
      </c>
      <c r="D310" s="218">
        <f>'FY21 w YOY comp'!D319</f>
        <v>6.84</v>
      </c>
      <c r="E310" s="218">
        <f>'FY21 w YOY comp'!E319</f>
        <v>0</v>
      </c>
      <c r="F310" s="218">
        <f>'FY21 w YOY comp'!F319</f>
        <v>4000</v>
      </c>
      <c r="G310" s="218">
        <f>'FY21 w YOY comp'!G319</f>
        <v>10361</v>
      </c>
      <c r="H310" s="218">
        <f>'FY21 w YOY comp'!I319</f>
        <v>11000</v>
      </c>
      <c r="I310" s="218">
        <f>'FY21 w YOY comp'!H319</f>
        <v>10361</v>
      </c>
      <c r="J310" s="220">
        <f>'FY21 w YOY comp'!K319</f>
        <v>20350</v>
      </c>
      <c r="K310" s="224">
        <f>'FY21 w YOY comp'!O319</f>
        <v>0</v>
      </c>
      <c r="L310" s="224">
        <f>'FY21 w YOY comp'!P319</f>
        <v>0</v>
      </c>
      <c r="M310" s="224">
        <f>'FY21 w YOY comp'!Q319</f>
        <v>0</v>
      </c>
      <c r="N310" s="224"/>
      <c r="O310" s="224"/>
      <c r="P310" s="224"/>
      <c r="Q310" s="224"/>
      <c r="R310" s="224"/>
      <c r="S310" s="224"/>
      <c r="T310" s="224"/>
      <c r="U310" s="224"/>
      <c r="V310" s="224"/>
      <c r="W310" s="224"/>
      <c r="X310" s="224"/>
      <c r="Y310" s="224"/>
      <c r="Z310" s="224"/>
      <c r="AA310" s="224"/>
    </row>
    <row r="311" spans="1:27" ht="15.75" hidden="1" customHeight="1" x14ac:dyDescent="0.25">
      <c r="A311" s="20">
        <f>'FY21 w YOY comp'!A320</f>
        <v>0</v>
      </c>
      <c r="B311" s="21">
        <f>'FY21 w YOY comp'!B320</f>
        <v>0</v>
      </c>
      <c r="C311" s="21">
        <f>'FY21 w YOY comp'!C320</f>
        <v>0</v>
      </c>
      <c r="D311" s="21">
        <f>'FY21 w YOY comp'!D320</f>
        <v>0</v>
      </c>
      <c r="E311" s="21">
        <f>'FY21 w YOY comp'!E320</f>
        <v>0</v>
      </c>
      <c r="F311" s="22">
        <f>'FY21 w YOY comp'!F320</f>
        <v>0</v>
      </c>
      <c r="G311" s="21">
        <f>'FY21 w YOY comp'!G320</f>
        <v>0</v>
      </c>
      <c r="H311" s="22">
        <f>'FY21 w YOY comp'!I320</f>
        <v>0</v>
      </c>
      <c r="I311" s="22">
        <f>'FY21 w YOY comp'!H320</f>
        <v>0</v>
      </c>
      <c r="J311" s="24">
        <f>'FY21 w YOY comp'!K320</f>
        <v>0</v>
      </c>
      <c r="K311" s="1">
        <f>'FY21 w YOY comp'!O320</f>
        <v>0</v>
      </c>
      <c r="L311" s="1">
        <f>'FY21 w YOY comp'!P320</f>
        <v>0</v>
      </c>
      <c r="M311" s="1">
        <f>'FY21 w YOY comp'!Q320</f>
        <v>0</v>
      </c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hidden="1" customHeight="1" x14ac:dyDescent="0.25">
      <c r="A312" s="48" t="str">
        <f>'FY21 w YOY comp'!A321</f>
        <v xml:space="preserve">   5900 Service</v>
      </c>
      <c r="B312" s="49">
        <f>'FY21 w YOY comp'!B321</f>
        <v>0</v>
      </c>
      <c r="C312" s="49">
        <f>'FY21 w YOY comp'!C321</f>
        <v>0</v>
      </c>
      <c r="D312" s="49">
        <f>'FY21 w YOY comp'!D321</f>
        <v>0</v>
      </c>
      <c r="E312" s="49">
        <f>'FY21 w YOY comp'!E321</f>
        <v>0</v>
      </c>
      <c r="F312" s="55">
        <f>'FY21 w YOY comp'!F321</f>
        <v>0</v>
      </c>
      <c r="G312" s="49">
        <f>'FY21 w YOY comp'!G321</f>
        <v>0</v>
      </c>
      <c r="H312" s="55">
        <f>'FY21 w YOY comp'!I321</f>
        <v>0</v>
      </c>
      <c r="I312" s="55">
        <f>'FY21 w YOY comp'!H321</f>
        <v>0</v>
      </c>
      <c r="J312" s="73">
        <f>'FY21 w YOY comp'!K321</f>
        <v>0</v>
      </c>
      <c r="K312" s="53">
        <f>'FY21 w YOY comp'!O321</f>
        <v>0</v>
      </c>
      <c r="L312" s="53">
        <f>'FY21 w YOY comp'!P321</f>
        <v>0</v>
      </c>
      <c r="M312" s="53">
        <f>'FY21 w YOY comp'!Q321</f>
        <v>0</v>
      </c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hidden="1" customHeight="1" x14ac:dyDescent="0.25">
      <c r="A313" s="48" t="str">
        <f>'FY21 w YOY comp'!A322</f>
        <v xml:space="preserve">      5910 GWOH</v>
      </c>
      <c r="B313" s="49">
        <f>'FY21 w YOY comp'!B322</f>
        <v>0</v>
      </c>
      <c r="C313" s="49">
        <f>'FY21 w YOY comp'!C322</f>
        <v>0</v>
      </c>
      <c r="D313" s="49">
        <f>'FY21 w YOY comp'!D322</f>
        <v>0</v>
      </c>
      <c r="E313" s="49">
        <f>'FY21 w YOY comp'!E322</f>
        <v>0</v>
      </c>
      <c r="F313" s="50">
        <f>'FY21 w YOY comp'!F322</f>
        <v>0</v>
      </c>
      <c r="G313" s="50">
        <f>'FY21 w YOY comp'!G322</f>
        <v>0</v>
      </c>
      <c r="H313" s="22">
        <f>'FY21 w YOY comp'!I322</f>
        <v>1000</v>
      </c>
      <c r="I313" s="22">
        <f>'FY21 w YOY comp'!H322</f>
        <v>0</v>
      </c>
      <c r="J313" s="24">
        <f>'FY21 w YOY comp'!K322</f>
        <v>1000</v>
      </c>
      <c r="K313" s="317">
        <f>'FY21 w YOY comp'!O322</f>
        <v>0</v>
      </c>
      <c r="L313" s="53">
        <f>'FY21 w YOY comp'!P322</f>
        <v>0</v>
      </c>
      <c r="M313" s="53">
        <f>'FY21 w YOY comp'!Q322</f>
        <v>0</v>
      </c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hidden="1" customHeight="1" x14ac:dyDescent="0.25">
      <c r="A314" s="48" t="str">
        <f>'FY21 w YOY comp'!A323</f>
        <v xml:space="preserve">      5915 Mission Trips</v>
      </c>
      <c r="B314" s="49">
        <f>'FY21 w YOY comp'!B323</f>
        <v>0</v>
      </c>
      <c r="C314" s="49">
        <f>'FY21 w YOY comp'!C323</f>
        <v>0</v>
      </c>
      <c r="D314" s="49">
        <f>'FY21 w YOY comp'!D323</f>
        <v>0</v>
      </c>
      <c r="E314" s="49">
        <f>'FY21 w YOY comp'!E323</f>
        <v>0</v>
      </c>
      <c r="F314" s="50">
        <f>'FY21 w YOY comp'!F323</f>
        <v>53.97</v>
      </c>
      <c r="G314" s="50">
        <f>'FY21 w YOY comp'!G323</f>
        <v>53.97</v>
      </c>
      <c r="H314" s="22">
        <f>'FY21 w YOY comp'!I323</f>
        <v>1300</v>
      </c>
      <c r="I314" s="22">
        <f>'FY21 w YOY comp'!H323</f>
        <v>53.97</v>
      </c>
      <c r="J314" s="24">
        <f>'FY21 w YOY comp'!K323</f>
        <v>260</v>
      </c>
      <c r="K314" s="53">
        <f>'FY21 w YOY comp'!O323</f>
        <v>0</v>
      </c>
      <c r="L314" s="53">
        <f>'FY21 w YOY comp'!P323</f>
        <v>0</v>
      </c>
      <c r="M314" s="53">
        <f>'FY21 w YOY comp'!Q323</f>
        <v>0</v>
      </c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hidden="1" customHeight="1" x14ac:dyDescent="0.25">
      <c r="A315" s="296" t="str">
        <f>'FY21 w YOY comp'!A324</f>
        <v xml:space="preserve">      5920 Recovery Rental Assistance</v>
      </c>
      <c r="B315" s="49">
        <f>'FY21 w YOY comp'!B324</f>
        <v>0</v>
      </c>
      <c r="C315" s="49">
        <f>'FY21 w YOY comp'!C324</f>
        <v>0</v>
      </c>
      <c r="D315" s="49">
        <f>'FY21 w YOY comp'!D324</f>
        <v>0</v>
      </c>
      <c r="E315" s="49">
        <f>'FY21 w YOY comp'!E324</f>
        <v>0</v>
      </c>
      <c r="F315" s="50">
        <f>'FY21 w YOY comp'!F324</f>
        <v>0</v>
      </c>
      <c r="G315" s="50">
        <f>'FY21 w YOY comp'!G324</f>
        <v>0</v>
      </c>
      <c r="H315" s="22">
        <f>'FY21 w YOY comp'!I324</f>
        <v>4550</v>
      </c>
      <c r="I315" s="55">
        <f>'FY21 w YOY comp'!H324</f>
        <v>0</v>
      </c>
      <c r="J315" s="24">
        <f>'FY21 w YOY comp'!K324</f>
        <v>4800</v>
      </c>
      <c r="K315" s="53" t="str">
        <f>'FY21 w YOY comp'!O324</f>
        <v>FY20 budget was $650/mo = $7500</v>
      </c>
      <c r="L315" s="53">
        <f>'FY21 w YOY comp'!P324</f>
        <v>0</v>
      </c>
      <c r="M315" s="53">
        <f>'FY21 w YOY comp'!Q324</f>
        <v>0</v>
      </c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hidden="1" customHeight="1" x14ac:dyDescent="0.25">
      <c r="A316" s="296" t="str">
        <f>'FY21 w YOY comp'!A325</f>
        <v xml:space="preserve">      5925 Community Group Meeting Support</v>
      </c>
      <c r="B316" s="49">
        <f>'FY21 w YOY comp'!B325</f>
        <v>0</v>
      </c>
      <c r="C316" s="49">
        <f>'FY21 w YOY comp'!C325</f>
        <v>0</v>
      </c>
      <c r="D316" s="49">
        <f>'FY21 w YOY comp'!D325</f>
        <v>0</v>
      </c>
      <c r="E316" s="49">
        <f>'FY21 w YOY comp'!E325</f>
        <v>0</v>
      </c>
      <c r="F316" s="50">
        <f>'FY21 w YOY comp'!F325</f>
        <v>0</v>
      </c>
      <c r="G316" s="50">
        <f>'FY21 w YOY comp'!G325</f>
        <v>0</v>
      </c>
      <c r="H316" s="22">
        <f>'FY21 w YOY comp'!I325</f>
        <v>100</v>
      </c>
      <c r="I316" s="55">
        <f>'FY21 w YOY comp'!H325</f>
        <v>0</v>
      </c>
      <c r="J316" s="24">
        <f>'FY21 w YOY comp'!K325</f>
        <v>0</v>
      </c>
      <c r="K316" s="53">
        <f>'FY21 w YOY comp'!O325</f>
        <v>0</v>
      </c>
      <c r="L316" s="53">
        <f>'FY21 w YOY comp'!P325</f>
        <v>0</v>
      </c>
      <c r="M316" s="53">
        <f>'FY21 w YOY comp'!Q325</f>
        <v>0</v>
      </c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hidden="1" customHeight="1" x14ac:dyDescent="0.25">
      <c r="A317" s="48" t="str">
        <f>'FY21 w YOY comp'!A326</f>
        <v xml:space="preserve">      5930 Baby Pantry</v>
      </c>
      <c r="B317" s="49">
        <f>'FY21 w YOY comp'!B326</f>
        <v>0</v>
      </c>
      <c r="C317" s="49">
        <f>'FY21 w YOY comp'!C326</f>
        <v>0</v>
      </c>
      <c r="D317" s="49">
        <f>'FY21 w YOY comp'!D326</f>
        <v>0</v>
      </c>
      <c r="E317" s="49">
        <f>'FY21 w YOY comp'!E326</f>
        <v>0</v>
      </c>
      <c r="F317" s="50">
        <f>'FY21 w YOY comp'!F326</f>
        <v>1442.07</v>
      </c>
      <c r="G317" s="50">
        <f>'FY21 w YOY comp'!G326</f>
        <v>1200</v>
      </c>
      <c r="H317" s="22">
        <f>'FY21 w YOY comp'!I326</f>
        <v>1200</v>
      </c>
      <c r="I317" s="22">
        <f>'FY21 w YOY comp'!H326</f>
        <v>1200</v>
      </c>
      <c r="J317" s="24">
        <f>'FY21 w YOY comp'!K326</f>
        <v>1800</v>
      </c>
      <c r="K317" s="53" t="str">
        <f>'FY21 w YOY comp'!O326</f>
        <v>$1.50/pack of wipes, 100 packs per month</v>
      </c>
      <c r="L317" s="53">
        <f>'FY21 w YOY comp'!P326</f>
        <v>0</v>
      </c>
      <c r="M317" s="53">
        <f>'FY21 w YOY comp'!Q326</f>
        <v>0</v>
      </c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hidden="1" customHeight="1" x14ac:dyDescent="0.25">
      <c r="A318" s="48" t="str">
        <f>'FY21 w YOY comp'!A327</f>
        <v xml:space="preserve">      5940 Food Ministry</v>
      </c>
      <c r="B318" s="49">
        <f>'FY21 w YOY comp'!B327</f>
        <v>0</v>
      </c>
      <c r="C318" s="49">
        <f>'FY21 w YOY comp'!C327</f>
        <v>0</v>
      </c>
      <c r="D318" s="49">
        <f>'FY21 w YOY comp'!D327</f>
        <v>0</v>
      </c>
      <c r="E318" s="49">
        <f>'FY21 w YOY comp'!E327</f>
        <v>0</v>
      </c>
      <c r="F318" s="50">
        <f>'FY21 w YOY comp'!F327</f>
        <v>1400</v>
      </c>
      <c r="G318" s="50">
        <f>'FY21 w YOY comp'!G327</f>
        <v>1971.05</v>
      </c>
      <c r="H318" s="22">
        <f>'FY21 w YOY comp'!I327</f>
        <v>0</v>
      </c>
      <c r="I318" s="22">
        <f>'FY21 w YOY comp'!H327</f>
        <v>1971.05</v>
      </c>
      <c r="J318" s="24">
        <f>'FY21 w YOY comp'!K327</f>
        <v>2000</v>
      </c>
      <c r="K318" s="53">
        <f>'FY21 w YOY comp'!O327</f>
        <v>0</v>
      </c>
      <c r="L318" s="53">
        <f>'FY21 w YOY comp'!P327</f>
        <v>0</v>
      </c>
      <c r="M318" s="53">
        <f>'FY21 w YOY comp'!Q327</f>
        <v>0</v>
      </c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25">
      <c r="A319" s="217" t="str">
        <f>'FY21 w YOY comp'!A328</f>
        <v xml:space="preserve">   Total 5900 Service</v>
      </c>
      <c r="B319" s="218">
        <f>'FY21 w YOY comp'!B328</f>
        <v>0</v>
      </c>
      <c r="C319" s="218">
        <f>'FY21 w YOY comp'!C328</f>
        <v>0</v>
      </c>
      <c r="D319" s="218">
        <f>'FY21 w YOY comp'!D328</f>
        <v>0</v>
      </c>
      <c r="E319" s="218">
        <f>'FY21 w YOY comp'!E328</f>
        <v>0</v>
      </c>
      <c r="F319" s="218">
        <f>'FY21 w YOY comp'!F328</f>
        <v>2896.04</v>
      </c>
      <c r="G319" s="218">
        <f>'FY21 w YOY comp'!G328</f>
        <v>3225.02</v>
      </c>
      <c r="H319" s="218">
        <f>'FY21 w YOY comp'!I328</f>
        <v>8150</v>
      </c>
      <c r="I319" s="218">
        <f>'FY21 w YOY comp'!H328</f>
        <v>3225.02</v>
      </c>
      <c r="J319" s="220">
        <f>'FY21 w YOY comp'!K328</f>
        <v>9860</v>
      </c>
      <c r="K319" s="224">
        <f>'FY21 w YOY comp'!O328</f>
        <v>0</v>
      </c>
      <c r="L319" s="224">
        <f>'FY21 w YOY comp'!P328</f>
        <v>0</v>
      </c>
      <c r="M319" s="224">
        <f>'FY21 w YOY comp'!Q328</f>
        <v>0</v>
      </c>
      <c r="N319" s="224"/>
      <c r="O319" s="224"/>
      <c r="P319" s="224"/>
      <c r="Q319" s="224"/>
      <c r="R319" s="224"/>
      <c r="S319" s="224"/>
      <c r="T319" s="224"/>
      <c r="U319" s="224"/>
      <c r="V319" s="224"/>
      <c r="W319" s="224"/>
      <c r="X319" s="224"/>
      <c r="Y319" s="224"/>
      <c r="Z319" s="224"/>
      <c r="AA319" s="224"/>
    </row>
    <row r="320" spans="1:27" ht="15.75" hidden="1" customHeight="1" x14ac:dyDescent="0.25">
      <c r="A320" s="20">
        <f>'FY21 w YOY comp'!A329</f>
        <v>0</v>
      </c>
      <c r="B320" s="22">
        <f>'FY21 w YOY comp'!B329</f>
        <v>0</v>
      </c>
      <c r="C320" s="22">
        <f>'FY21 w YOY comp'!C329</f>
        <v>0</v>
      </c>
      <c r="D320" s="22">
        <f>'FY21 w YOY comp'!D329</f>
        <v>0</v>
      </c>
      <c r="E320" s="22">
        <f>'FY21 w YOY comp'!E329</f>
        <v>0</v>
      </c>
      <c r="F320" s="22">
        <f>'FY21 w YOY comp'!F329</f>
        <v>0</v>
      </c>
      <c r="G320" s="22">
        <f>'FY21 w YOY comp'!G329</f>
        <v>0</v>
      </c>
      <c r="H320" s="22">
        <f>'FY21 w YOY comp'!I329</f>
        <v>0</v>
      </c>
      <c r="I320" s="22">
        <f>'FY21 w YOY comp'!H329</f>
        <v>0</v>
      </c>
      <c r="J320" s="24">
        <f>'FY21 w YOY comp'!K329</f>
        <v>0</v>
      </c>
      <c r="K320" s="1">
        <f>'FY21 w YOY comp'!O329</f>
        <v>0</v>
      </c>
      <c r="L320" s="1">
        <f>'FY21 w YOY comp'!P329</f>
        <v>0</v>
      </c>
      <c r="M320" s="1">
        <f>'FY21 w YOY comp'!Q329</f>
        <v>0</v>
      </c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5">
      <c r="A321" s="297" t="str">
        <f>'FY21 w YOY comp'!A330</f>
        <v>Total Expenses</v>
      </c>
      <c r="B321" s="298">
        <f>'FY21 w YOY comp'!B330</f>
        <v>321980.63000000006</v>
      </c>
      <c r="C321" s="298">
        <f>'FY21 w YOY comp'!C330</f>
        <v>326875.36</v>
      </c>
      <c r="D321" s="298">
        <f>'FY21 w YOY comp'!D330</f>
        <v>340577.32</v>
      </c>
      <c r="E321" s="298">
        <f>'FY21 w YOY comp'!E330</f>
        <v>336555.76</v>
      </c>
      <c r="F321" s="298">
        <f>'FY21 w YOY comp'!F330</f>
        <v>331694.74000000005</v>
      </c>
      <c r="G321" s="298">
        <f>'FY21 w YOY comp'!G330</f>
        <v>299928.1100000001</v>
      </c>
      <c r="H321" s="298">
        <f>'FY21 w YOY comp'!I330</f>
        <v>334883</v>
      </c>
      <c r="I321" s="298">
        <f>'FY21 w YOY comp'!H330</f>
        <v>299928.1100000001</v>
      </c>
      <c r="J321" s="300">
        <f>'FY21 w YOY comp'!K330</f>
        <v>405782.05221413338</v>
      </c>
      <c r="K321" s="301">
        <f>'FY21 w YOY comp'!O330</f>
        <v>0</v>
      </c>
      <c r="L321" s="301">
        <f>'FY21 w YOY comp'!P330</f>
        <v>0</v>
      </c>
      <c r="M321" s="301">
        <f>'FY21 w YOY comp'!Q330</f>
        <v>0</v>
      </c>
      <c r="N321" s="301"/>
      <c r="O321" s="301"/>
      <c r="P321" s="301"/>
      <c r="Q321" s="301"/>
      <c r="R321" s="301"/>
      <c r="S321" s="301"/>
      <c r="T321" s="301"/>
      <c r="U321" s="301"/>
      <c r="V321" s="301"/>
      <c r="W321" s="301"/>
      <c r="X321" s="301"/>
      <c r="Y321" s="301"/>
      <c r="Z321" s="301"/>
      <c r="AA321" s="301"/>
    </row>
    <row r="322" spans="1:27" ht="15.75" hidden="1" customHeight="1" x14ac:dyDescent="0.25">
      <c r="A322" s="20">
        <f>'FY21 w YOY comp'!A331</f>
        <v>0</v>
      </c>
      <c r="B322" s="116">
        <f>'FY21 w YOY comp'!B331</f>
        <v>0</v>
      </c>
      <c r="C322" s="116">
        <f>'FY21 w YOY comp'!C331</f>
        <v>0</v>
      </c>
      <c r="D322" s="116">
        <f>'FY21 w YOY comp'!D331</f>
        <v>0</v>
      </c>
      <c r="E322" s="116">
        <f>'FY21 w YOY comp'!E331</f>
        <v>0</v>
      </c>
      <c r="F322" s="116">
        <f>'FY21 w YOY comp'!F331</f>
        <v>0</v>
      </c>
      <c r="G322" s="116">
        <f>'FY21 w YOY comp'!G331</f>
        <v>0</v>
      </c>
      <c r="H322" s="22">
        <f>'FY21 w YOY comp'!I331</f>
        <v>0</v>
      </c>
      <c r="I322" s="22">
        <f>'FY21 w YOY comp'!H331</f>
        <v>0</v>
      </c>
      <c r="J322" s="24">
        <f>'FY21 w YOY comp'!K331</f>
        <v>0</v>
      </c>
      <c r="K322" s="1">
        <f>'FY21 w YOY comp'!O331</f>
        <v>0</v>
      </c>
      <c r="L322" s="1">
        <f>'FY21 w YOY comp'!P331</f>
        <v>0</v>
      </c>
      <c r="M322" s="1">
        <f>'FY21 w YOY comp'!Q331</f>
        <v>0</v>
      </c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5">
      <c r="A323" s="302" t="str">
        <f>'FY21 w YOY comp'!A332</f>
        <v>Net Operating Income</v>
      </c>
      <c r="B323" s="303">
        <f>'FY21 w YOY comp'!B332</f>
        <v>-2411.8300000000163</v>
      </c>
      <c r="C323" s="303">
        <f>'FY21 w YOY comp'!C332</f>
        <v>-22337.979999999981</v>
      </c>
      <c r="D323" s="303">
        <f>'FY21 w YOY comp'!D332</f>
        <v>-3742.9000000000233</v>
      </c>
      <c r="E323" s="303">
        <f>'FY21 w YOY comp'!E332</f>
        <v>-5096.7699999999604</v>
      </c>
      <c r="F323" s="303">
        <f>'FY21 w YOY comp'!F332</f>
        <v>-742.69000000006054</v>
      </c>
      <c r="G323" s="303">
        <f>'FY21 w YOY comp'!G332</f>
        <v>33658.5799999999</v>
      </c>
      <c r="H323" s="303">
        <f>'FY21 w YOY comp'!I332</f>
        <v>-300</v>
      </c>
      <c r="I323" s="303">
        <f>'FY21 w YOY comp'!H332</f>
        <v>33658.5799999999</v>
      </c>
      <c r="J323" s="305">
        <f>'FY21 w YOY comp'!K332</f>
        <v>0.10791919997427613</v>
      </c>
      <c r="K323" s="56">
        <f>'FY21 w YOY comp'!O332</f>
        <v>0</v>
      </c>
      <c r="L323" s="56">
        <f>'FY21 w YOY comp'!P332</f>
        <v>0</v>
      </c>
      <c r="M323" s="56">
        <f>'FY21 w YOY comp'!Q332</f>
        <v>0</v>
      </c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</row>
    <row r="324" spans="1:27" ht="15.75" customHeight="1" x14ac:dyDescent="0.25">
      <c r="A324" s="20"/>
      <c r="B324" s="306"/>
      <c r="C324" s="306"/>
      <c r="D324" s="306"/>
      <c r="E324" s="306"/>
      <c r="F324" s="1"/>
      <c r="G324" s="306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/>
    <row r="327" spans="1:27" ht="15.75" customHeight="1" x14ac:dyDescent="0.2"/>
    <row r="328" spans="1:27" ht="15.75" customHeight="1" x14ac:dyDescent="0.2"/>
    <row r="329" spans="1:27" ht="15.75" customHeight="1" x14ac:dyDescent="0.2"/>
    <row r="330" spans="1:27" ht="15.75" customHeight="1" x14ac:dyDescent="0.2"/>
    <row r="331" spans="1:27" ht="15.75" customHeight="1" x14ac:dyDescent="0.2"/>
    <row r="332" spans="1:27" ht="15.75" customHeight="1" x14ac:dyDescent="0.2"/>
    <row r="333" spans="1:27" ht="15.75" customHeight="1" x14ac:dyDescent="0.2"/>
    <row r="334" spans="1:27" ht="15.75" customHeight="1" x14ac:dyDescent="0.2"/>
    <row r="335" spans="1:27" ht="15.75" customHeight="1" x14ac:dyDescent="0.2"/>
    <row r="336" spans="1:27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625" defaultRowHeight="15" customHeight="1" x14ac:dyDescent="0.2"/>
  <cols>
    <col min="1" max="1" width="61" customWidth="1"/>
    <col min="2" max="7" width="10.75" customWidth="1"/>
    <col min="8" max="8" width="13.125" customWidth="1"/>
    <col min="9" max="26" width="7.625" customWidth="1"/>
  </cols>
  <sheetData>
    <row r="1" spans="1:26" ht="31.5" x14ac:dyDescent="0.25">
      <c r="A1" s="1"/>
      <c r="B1" s="1"/>
      <c r="C1" s="1"/>
      <c r="D1" s="1"/>
      <c r="E1" s="1"/>
      <c r="F1" s="2" t="s">
        <v>0</v>
      </c>
      <c r="G1" s="309" t="s">
        <v>548</v>
      </c>
      <c r="H1" s="321" t="s">
        <v>549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x14ac:dyDescent="0.25">
      <c r="A2" s="11"/>
      <c r="B2" s="12" t="s">
        <v>9</v>
      </c>
      <c r="C2" s="12" t="s">
        <v>10</v>
      </c>
      <c r="D2" s="12" t="s">
        <v>11</v>
      </c>
      <c r="E2" s="12" t="s">
        <v>12</v>
      </c>
      <c r="F2" s="12" t="s">
        <v>13</v>
      </c>
      <c r="G2" s="12" t="s">
        <v>550</v>
      </c>
      <c r="H2" s="322" t="s">
        <v>551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20" t="s">
        <v>23</v>
      </c>
      <c r="B3" s="323"/>
      <c r="C3" s="323"/>
      <c r="D3" s="323"/>
      <c r="E3" s="323"/>
      <c r="F3" s="324"/>
      <c r="G3" s="323"/>
      <c r="H3" s="32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48" t="s">
        <v>552</v>
      </c>
      <c r="B4" s="326"/>
      <c r="C4" s="326"/>
      <c r="D4" s="326"/>
      <c r="E4" s="326"/>
      <c r="F4" s="327"/>
      <c r="G4" s="326"/>
      <c r="H4" s="325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5.75" x14ac:dyDescent="0.25">
      <c r="A5" s="46" t="s">
        <v>553</v>
      </c>
      <c r="B5" s="323"/>
      <c r="C5" s="323"/>
      <c r="D5" s="328">
        <f>1670</f>
        <v>1670</v>
      </c>
      <c r="E5" s="328">
        <f>-1670</f>
        <v>-1670</v>
      </c>
      <c r="F5" s="324"/>
      <c r="G5" s="323"/>
      <c r="H5" s="32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46" t="s">
        <v>554</v>
      </c>
      <c r="B6" s="323"/>
      <c r="C6" s="323"/>
      <c r="D6" s="323"/>
      <c r="E6" s="328">
        <f>570.34</f>
        <v>570.34</v>
      </c>
      <c r="F6" s="328">
        <f t="shared" ref="F6:G6" si="0">-86.84</f>
        <v>-86.84</v>
      </c>
      <c r="G6" s="328">
        <f t="shared" si="0"/>
        <v>-86.84</v>
      </c>
      <c r="H6" s="32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46" t="s">
        <v>555</v>
      </c>
      <c r="B7" s="323"/>
      <c r="C7" s="323"/>
      <c r="D7" s="323"/>
      <c r="E7" s="323"/>
      <c r="F7" s="328">
        <f t="shared" ref="F7:G7" si="1">1755.22</f>
        <v>1755.22</v>
      </c>
      <c r="G7" s="328">
        <f t="shared" si="1"/>
        <v>1755.22</v>
      </c>
      <c r="H7" s="32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46" t="s">
        <v>556</v>
      </c>
      <c r="B8" s="323"/>
      <c r="C8" s="323"/>
      <c r="D8" s="323"/>
      <c r="E8" s="323"/>
      <c r="F8" s="328">
        <f t="shared" ref="F8:G8" si="2">6000</f>
        <v>6000</v>
      </c>
      <c r="G8" s="328">
        <f t="shared" si="2"/>
        <v>6000</v>
      </c>
      <c r="H8" s="32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27" t="s">
        <v>557</v>
      </c>
      <c r="B9" s="329">
        <f t="shared" ref="B9:G9" si="3">SUM(B5:B8)</f>
        <v>0</v>
      </c>
      <c r="C9" s="329">
        <f t="shared" si="3"/>
        <v>0</v>
      </c>
      <c r="D9" s="329">
        <f t="shared" si="3"/>
        <v>1670</v>
      </c>
      <c r="E9" s="329">
        <f t="shared" si="3"/>
        <v>-1099.6599999999999</v>
      </c>
      <c r="F9" s="329">
        <f t="shared" si="3"/>
        <v>7668.38</v>
      </c>
      <c r="G9" s="329">
        <f t="shared" si="3"/>
        <v>7668.38</v>
      </c>
      <c r="H9" s="325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5.75" x14ac:dyDescent="0.25">
      <c r="A10" s="27" t="s">
        <v>558</v>
      </c>
      <c r="B10" s="330">
        <f>1027</f>
        <v>1027</v>
      </c>
      <c r="C10" s="330">
        <f>1223.55</f>
        <v>1223.55</v>
      </c>
      <c r="D10" s="330">
        <f>686.57</f>
        <v>686.57</v>
      </c>
      <c r="E10" s="330">
        <f>507.62</f>
        <v>507.62</v>
      </c>
      <c r="F10" s="330">
        <f>16.18</f>
        <v>16.18</v>
      </c>
      <c r="G10" s="331"/>
      <c r="H10" s="325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5.75" x14ac:dyDescent="0.25">
      <c r="A11" s="27" t="s">
        <v>27</v>
      </c>
      <c r="B11" s="330">
        <f>236200.04</f>
        <v>236200.04</v>
      </c>
      <c r="C11" s="330">
        <f>246451.31</f>
        <v>246451.31</v>
      </c>
      <c r="D11" s="330">
        <f>259618.66</f>
        <v>259618.66</v>
      </c>
      <c r="E11" s="330">
        <f>255282.23</f>
        <v>255282.23</v>
      </c>
      <c r="F11" s="330">
        <f>249416.3</f>
        <v>249416.3</v>
      </c>
      <c r="G11" s="330">
        <f>179291.07</f>
        <v>179291.07</v>
      </c>
      <c r="H11" s="325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5.75" x14ac:dyDescent="0.25">
      <c r="A12" s="27" t="s">
        <v>559</v>
      </c>
      <c r="B12" s="330">
        <f>12.2</f>
        <v>12.2</v>
      </c>
      <c r="C12" s="330">
        <f>11.05</f>
        <v>11.05</v>
      </c>
      <c r="D12" s="330">
        <f>378479.81</f>
        <v>378479.81</v>
      </c>
      <c r="E12" s="330">
        <f>47267.15</f>
        <v>47267.15</v>
      </c>
      <c r="F12" s="330">
        <f>76921.36</f>
        <v>76921.36</v>
      </c>
      <c r="G12" s="330">
        <f>52791.87</f>
        <v>52791.87</v>
      </c>
      <c r="H12" s="325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5.75" x14ac:dyDescent="0.25">
      <c r="A13" s="27" t="s">
        <v>560</v>
      </c>
      <c r="B13" s="330">
        <f>-258</f>
        <v>-258</v>
      </c>
      <c r="C13" s="330">
        <f>242.5</f>
        <v>242.5</v>
      </c>
      <c r="D13" s="330">
        <f>357.2</f>
        <v>357.2</v>
      </c>
      <c r="E13" s="330">
        <f>-133.93</f>
        <v>-133.93</v>
      </c>
      <c r="F13" s="330">
        <f>248.19</f>
        <v>248.19</v>
      </c>
      <c r="G13" s="330">
        <f>-701.81</f>
        <v>-701.81</v>
      </c>
      <c r="H13" s="325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5.75" customHeight="1" x14ac:dyDescent="0.25">
      <c r="A14" s="27" t="s">
        <v>30</v>
      </c>
      <c r="B14" s="331"/>
      <c r="C14" s="331"/>
      <c r="D14" s="331"/>
      <c r="E14" s="331"/>
      <c r="F14" s="330">
        <f t="shared" ref="F14:G14" si="4">30400</f>
        <v>30400</v>
      </c>
      <c r="G14" s="330">
        <f t="shared" si="4"/>
        <v>30400</v>
      </c>
      <c r="H14" s="325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5.75" customHeight="1" x14ac:dyDescent="0.25">
      <c r="A15" s="46" t="s">
        <v>31</v>
      </c>
      <c r="B15" s="328">
        <f>250.63</f>
        <v>250.63</v>
      </c>
      <c r="C15" s="328">
        <f>1432.5</f>
        <v>1432.5</v>
      </c>
      <c r="D15" s="328">
        <f>1540.67</f>
        <v>1540.67</v>
      </c>
      <c r="E15" s="328">
        <f>100.1</f>
        <v>100.1</v>
      </c>
      <c r="F15" s="328">
        <f>0.04</f>
        <v>0.04</v>
      </c>
      <c r="G15" s="323"/>
      <c r="H15" s="32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48" t="s">
        <v>32</v>
      </c>
      <c r="B16" s="326"/>
      <c r="C16" s="332">
        <f>354.09</f>
        <v>354.09</v>
      </c>
      <c r="D16" s="326"/>
      <c r="E16" s="332">
        <f>884.09</f>
        <v>884.09</v>
      </c>
      <c r="F16" s="332">
        <f>911.49</f>
        <v>911.49</v>
      </c>
      <c r="G16" s="332">
        <f>294.38</f>
        <v>294.38</v>
      </c>
      <c r="H16" s="325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5.75" customHeight="1" x14ac:dyDescent="0.25">
      <c r="A17" s="48" t="s">
        <v>34</v>
      </c>
      <c r="B17" s="332">
        <f>-143.89</f>
        <v>-143.88999999999999</v>
      </c>
      <c r="C17" s="326"/>
      <c r="D17" s="332">
        <f>208.76</f>
        <v>208.76</v>
      </c>
      <c r="E17" s="332">
        <f>260</f>
        <v>260</v>
      </c>
      <c r="F17" s="332">
        <f>52</f>
        <v>52</v>
      </c>
      <c r="G17" s="326"/>
      <c r="H17" s="325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5.75" customHeight="1" x14ac:dyDescent="0.25">
      <c r="A18" s="48" t="s">
        <v>561</v>
      </c>
      <c r="B18" s="326"/>
      <c r="C18" s="326"/>
      <c r="D18" s="326"/>
      <c r="E18" s="326"/>
      <c r="F18" s="327"/>
      <c r="G18" s="326"/>
      <c r="H18" s="325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5.75" customHeight="1" x14ac:dyDescent="0.25">
      <c r="A19" s="48" t="s">
        <v>562</v>
      </c>
      <c r="B19" s="326"/>
      <c r="C19" s="326"/>
      <c r="D19" s="326"/>
      <c r="E19" s="326"/>
      <c r="F19" s="327"/>
      <c r="G19" s="326"/>
      <c r="H19" s="325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5.75" customHeight="1" x14ac:dyDescent="0.25">
      <c r="A20" s="48" t="s">
        <v>563</v>
      </c>
      <c r="B20" s="332">
        <f>1389.62</f>
        <v>1389.62</v>
      </c>
      <c r="C20" s="332">
        <f>18608.29</f>
        <v>18608.29</v>
      </c>
      <c r="D20" s="332">
        <f>2909.46</f>
        <v>2909.46</v>
      </c>
      <c r="E20" s="332">
        <f>51338.65</f>
        <v>51338.65</v>
      </c>
      <c r="F20" s="332">
        <f>46117.91</f>
        <v>46117.91</v>
      </c>
      <c r="G20" s="326"/>
      <c r="H20" s="325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5.75" customHeight="1" x14ac:dyDescent="0.25">
      <c r="A21" s="48" t="s">
        <v>36</v>
      </c>
      <c r="B21" s="332">
        <f>35482.06</f>
        <v>35482.06</v>
      </c>
      <c r="C21" s="332">
        <f>34395.41</f>
        <v>34395.410000000003</v>
      </c>
      <c r="D21" s="332">
        <f>39807.35</f>
        <v>39807.35</v>
      </c>
      <c r="E21" s="332">
        <f>47927.31</f>
        <v>47927.31</v>
      </c>
      <c r="F21" s="332">
        <f>33790.88</f>
        <v>33790.879999999997</v>
      </c>
      <c r="G21" s="332">
        <f>20959.56</f>
        <v>20959.560000000001</v>
      </c>
      <c r="H21" s="325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5.75" customHeight="1" x14ac:dyDescent="0.25">
      <c r="A22" s="48" t="s">
        <v>38</v>
      </c>
      <c r="B22" s="332">
        <f>2370.23</f>
        <v>2370.23</v>
      </c>
      <c r="C22" s="332">
        <f>1847.19</f>
        <v>1847.19</v>
      </c>
      <c r="D22" s="332">
        <f>1456.59</f>
        <v>1456.59</v>
      </c>
      <c r="E22" s="332">
        <f>1803.81</f>
        <v>1803.81</v>
      </c>
      <c r="F22" s="332">
        <f>1867.21</f>
        <v>1867.21</v>
      </c>
      <c r="G22" s="332">
        <f>971.12</f>
        <v>971.12</v>
      </c>
      <c r="H22" s="325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5.75" customHeight="1" x14ac:dyDescent="0.25">
      <c r="A23" s="48" t="s">
        <v>564</v>
      </c>
      <c r="B23" s="332">
        <f>45806.47</f>
        <v>45806.47</v>
      </c>
      <c r="C23" s="332">
        <f>34314.16</f>
        <v>34314.160000000003</v>
      </c>
      <c r="D23" s="332">
        <f>34819.33</f>
        <v>34819.33</v>
      </c>
      <c r="E23" s="332">
        <f>32893.79</f>
        <v>32893.79</v>
      </c>
      <c r="F23" s="332">
        <f>23210.93</f>
        <v>23210.93</v>
      </c>
      <c r="G23" s="332">
        <f>13432.44</f>
        <v>13432.44</v>
      </c>
      <c r="H23" s="325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.75" customHeight="1" x14ac:dyDescent="0.25">
      <c r="A24" s="48" t="s">
        <v>40</v>
      </c>
      <c r="B24" s="332">
        <f>10000</f>
        <v>10000</v>
      </c>
      <c r="C24" s="326"/>
      <c r="D24" s="326"/>
      <c r="E24" s="326"/>
      <c r="F24" s="327"/>
      <c r="G24" s="326"/>
      <c r="H24" s="325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5.75" customHeight="1" x14ac:dyDescent="0.25">
      <c r="A25" s="48" t="s">
        <v>42</v>
      </c>
      <c r="B25" s="326"/>
      <c r="C25" s="326"/>
      <c r="D25" s="326"/>
      <c r="E25" s="326"/>
      <c r="F25" s="332">
        <f t="shared" ref="F25:G25" si="5">132</f>
        <v>132</v>
      </c>
      <c r="G25" s="332">
        <f t="shared" si="5"/>
        <v>132</v>
      </c>
      <c r="H25" s="325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5.75" customHeight="1" x14ac:dyDescent="0.25">
      <c r="A26" s="48" t="s">
        <v>44</v>
      </c>
      <c r="B26" s="332">
        <f>-484.62</f>
        <v>-484.62</v>
      </c>
      <c r="C26" s="332">
        <f>-18608.29</f>
        <v>-18608.29</v>
      </c>
      <c r="D26" s="332">
        <f>-2909.46</f>
        <v>-2909.46</v>
      </c>
      <c r="E26" s="326"/>
      <c r="F26" s="327"/>
      <c r="G26" s="326"/>
      <c r="H26" s="325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.75" customHeight="1" x14ac:dyDescent="0.25">
      <c r="A27" s="27" t="s">
        <v>45</v>
      </c>
      <c r="B27" s="329">
        <f t="shared" ref="B27:G27" si="6">SUM(B15:B26)</f>
        <v>94670.5</v>
      </c>
      <c r="C27" s="329">
        <f t="shared" si="6"/>
        <v>72343.350000000006</v>
      </c>
      <c r="D27" s="329">
        <f t="shared" si="6"/>
        <v>77832.7</v>
      </c>
      <c r="E27" s="329">
        <f t="shared" si="6"/>
        <v>135207.75</v>
      </c>
      <c r="F27" s="329">
        <f t="shared" si="6"/>
        <v>106082.46000000002</v>
      </c>
      <c r="G27" s="329">
        <f t="shared" si="6"/>
        <v>35789.5</v>
      </c>
      <c r="H27" s="325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5.75" customHeight="1" x14ac:dyDescent="0.25">
      <c r="A28" s="48" t="s">
        <v>46</v>
      </c>
      <c r="B28" s="326"/>
      <c r="C28" s="326"/>
      <c r="D28" s="326"/>
      <c r="E28" s="326"/>
      <c r="F28" s="327"/>
      <c r="G28" s="326"/>
      <c r="H28" s="325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.75" customHeight="1" x14ac:dyDescent="0.25">
      <c r="A29" s="48" t="s">
        <v>47</v>
      </c>
      <c r="B29" s="332">
        <f>1925</f>
        <v>1925</v>
      </c>
      <c r="C29" s="332">
        <f>3470</f>
        <v>3470</v>
      </c>
      <c r="D29" s="332">
        <f>5036</f>
        <v>5036</v>
      </c>
      <c r="E29" s="332">
        <f>4922.37</f>
        <v>4922.37</v>
      </c>
      <c r="F29" s="332">
        <f>200</f>
        <v>200</v>
      </c>
      <c r="G29" s="326"/>
      <c r="H29" s="325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5.75" customHeight="1" x14ac:dyDescent="0.25">
      <c r="A30" s="48" t="s">
        <v>50</v>
      </c>
      <c r="B30" s="332">
        <f>496.56</f>
        <v>496.56</v>
      </c>
      <c r="C30" s="332">
        <f>691.53</f>
        <v>691.53</v>
      </c>
      <c r="D30" s="332">
        <f>855.4</f>
        <v>855.4</v>
      </c>
      <c r="E30" s="332">
        <f>819.68</f>
        <v>819.68</v>
      </c>
      <c r="F30" s="332">
        <f>524.3</f>
        <v>524.29999999999995</v>
      </c>
      <c r="G30" s="332">
        <f>308.4</f>
        <v>308.39999999999998</v>
      </c>
      <c r="H30" s="325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5.75" customHeight="1" x14ac:dyDescent="0.25">
      <c r="A31" s="48" t="s">
        <v>52</v>
      </c>
      <c r="B31" s="332">
        <f>20</f>
        <v>20</v>
      </c>
      <c r="C31" s="326"/>
      <c r="D31" s="332">
        <f>10</f>
        <v>10</v>
      </c>
      <c r="E31" s="326"/>
      <c r="F31" s="327"/>
      <c r="G31" s="326"/>
      <c r="H31" s="325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5.75" customHeight="1" x14ac:dyDescent="0.25">
      <c r="A32" s="48" t="s">
        <v>53</v>
      </c>
      <c r="B32" s="332">
        <f>533</f>
        <v>533</v>
      </c>
      <c r="C32" s="332">
        <f>1805</f>
        <v>1805</v>
      </c>
      <c r="D32" s="332">
        <f>100</f>
        <v>100</v>
      </c>
      <c r="E32" s="332">
        <f>200</f>
        <v>200</v>
      </c>
      <c r="F32" s="327"/>
      <c r="G32" s="326"/>
      <c r="H32" s="325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5.75" customHeight="1" x14ac:dyDescent="0.25">
      <c r="A33" s="48" t="s">
        <v>56</v>
      </c>
      <c r="B33" s="326"/>
      <c r="C33" s="332">
        <f>0</f>
        <v>0</v>
      </c>
      <c r="D33" s="332">
        <f>691.28</f>
        <v>691.28</v>
      </c>
      <c r="E33" s="326"/>
      <c r="F33" s="327"/>
      <c r="G33" s="326"/>
      <c r="H33" s="325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5.75" customHeight="1" x14ac:dyDescent="0.25">
      <c r="A34" s="48" t="s">
        <v>57</v>
      </c>
      <c r="B34" s="326"/>
      <c r="C34" s="332">
        <f>43.5</f>
        <v>43.5</v>
      </c>
      <c r="D34" s="332">
        <f>33.85</f>
        <v>33.85</v>
      </c>
      <c r="E34" s="326"/>
      <c r="F34" s="327"/>
      <c r="G34" s="326"/>
      <c r="H34" s="325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5.75" customHeight="1" x14ac:dyDescent="0.25">
      <c r="A35" s="48" t="s">
        <v>58</v>
      </c>
      <c r="B35" s="332">
        <f>560</f>
        <v>560</v>
      </c>
      <c r="C35" s="332">
        <f>373</f>
        <v>373</v>
      </c>
      <c r="D35" s="332">
        <f>90</f>
        <v>90</v>
      </c>
      <c r="E35" s="332">
        <f>1450</f>
        <v>1450</v>
      </c>
      <c r="F35" s="332">
        <f>2590.01</f>
        <v>2590.0100000000002</v>
      </c>
      <c r="G35" s="332">
        <f>1400.01</f>
        <v>1400.01</v>
      </c>
      <c r="H35" s="325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5.75" customHeight="1" x14ac:dyDescent="0.25">
      <c r="A36" s="48" t="s">
        <v>60</v>
      </c>
      <c r="B36" s="332">
        <f>15</f>
        <v>15</v>
      </c>
      <c r="C36" s="332">
        <f>373.38</f>
        <v>373.38</v>
      </c>
      <c r="D36" s="326"/>
      <c r="E36" s="326"/>
      <c r="F36" s="327"/>
      <c r="G36" s="326"/>
      <c r="H36" s="325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5.75" customHeight="1" x14ac:dyDescent="0.25">
      <c r="A37" s="79" t="s">
        <v>61</v>
      </c>
      <c r="B37" s="333">
        <f>651</f>
        <v>651</v>
      </c>
      <c r="C37" s="333">
        <f>5230</f>
        <v>5230</v>
      </c>
      <c r="D37" s="334"/>
      <c r="E37" s="334"/>
      <c r="F37" s="335"/>
      <c r="G37" s="334"/>
      <c r="H37" s="336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spans="1:26" ht="15.75" customHeight="1" x14ac:dyDescent="0.25">
      <c r="A38" s="83" t="s">
        <v>62</v>
      </c>
      <c r="B38" s="337"/>
      <c r="C38" s="337"/>
      <c r="D38" s="338">
        <f>3525</f>
        <v>3525</v>
      </c>
      <c r="E38" s="338">
        <f t="shared" ref="E38:G38" si="7">4000</f>
        <v>4000</v>
      </c>
      <c r="F38" s="338">
        <f t="shared" si="7"/>
        <v>4000</v>
      </c>
      <c r="G38" s="338">
        <f t="shared" si="7"/>
        <v>4000</v>
      </c>
      <c r="H38" s="336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spans="1:26" ht="15.75" customHeight="1" x14ac:dyDescent="0.25">
      <c r="A39" s="83" t="s">
        <v>64</v>
      </c>
      <c r="B39" s="337"/>
      <c r="C39" s="337"/>
      <c r="D39" s="338">
        <f>140</f>
        <v>140</v>
      </c>
      <c r="E39" s="337"/>
      <c r="F39" s="339"/>
      <c r="G39" s="337"/>
      <c r="H39" s="336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spans="1:26" ht="15.75" customHeight="1" x14ac:dyDescent="0.25">
      <c r="A40" s="83" t="s">
        <v>65</v>
      </c>
      <c r="B40" s="337"/>
      <c r="C40" s="337"/>
      <c r="D40" s="338">
        <f>85</f>
        <v>85</v>
      </c>
      <c r="E40" s="337"/>
      <c r="F40" s="338">
        <f t="shared" ref="F40:G40" si="8">67.87</f>
        <v>67.87</v>
      </c>
      <c r="G40" s="338">
        <f t="shared" si="8"/>
        <v>67.87</v>
      </c>
      <c r="H40" s="336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</row>
    <row r="41" spans="1:26" ht="15.75" customHeight="1" x14ac:dyDescent="0.25">
      <c r="A41" s="83" t="s">
        <v>67</v>
      </c>
      <c r="B41" s="337"/>
      <c r="C41" s="337"/>
      <c r="D41" s="338">
        <f>36</f>
        <v>36</v>
      </c>
      <c r="E41" s="338">
        <f>234</f>
        <v>234</v>
      </c>
      <c r="F41" s="338">
        <f>26</f>
        <v>26</v>
      </c>
      <c r="G41" s="337"/>
      <c r="H41" s="336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spans="1:26" ht="15.75" customHeight="1" x14ac:dyDescent="0.25">
      <c r="A42" s="83" t="s">
        <v>69</v>
      </c>
      <c r="B42" s="337"/>
      <c r="C42" s="337"/>
      <c r="D42" s="338">
        <f>84</f>
        <v>84</v>
      </c>
      <c r="E42" s="338">
        <f>925</f>
        <v>925</v>
      </c>
      <c r="F42" s="338">
        <f t="shared" ref="F42:G42" si="9">100</f>
        <v>100</v>
      </c>
      <c r="G42" s="338">
        <f t="shared" si="9"/>
        <v>100</v>
      </c>
      <c r="H42" s="336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spans="1:26" ht="15.75" customHeight="1" x14ac:dyDescent="0.25">
      <c r="A43" s="83" t="s">
        <v>71</v>
      </c>
      <c r="B43" s="337"/>
      <c r="C43" s="337"/>
      <c r="D43" s="338">
        <f>40</f>
        <v>40</v>
      </c>
      <c r="E43" s="337"/>
      <c r="F43" s="339"/>
      <c r="G43" s="337"/>
      <c r="H43" s="336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spans="1:26" ht="15.75" customHeight="1" x14ac:dyDescent="0.25">
      <c r="A44" s="83" t="s">
        <v>73</v>
      </c>
      <c r="B44" s="337"/>
      <c r="C44" s="337"/>
      <c r="D44" s="337"/>
      <c r="E44" s="337"/>
      <c r="F44" s="338">
        <f t="shared" ref="F44:G44" si="10">1375</f>
        <v>1375</v>
      </c>
      <c r="G44" s="338">
        <f t="shared" si="10"/>
        <v>1375</v>
      </c>
      <c r="H44" s="336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spans="1:26" ht="15.75" customHeight="1" x14ac:dyDescent="0.25">
      <c r="A45" s="83" t="s">
        <v>75</v>
      </c>
      <c r="B45" s="337"/>
      <c r="C45" s="337"/>
      <c r="D45" s="338">
        <f>384</f>
        <v>384</v>
      </c>
      <c r="E45" s="338">
        <f>248.71</f>
        <v>248.71</v>
      </c>
      <c r="F45" s="338">
        <f>84.51</f>
        <v>84.51</v>
      </c>
      <c r="G45" s="338">
        <f>0</f>
        <v>0</v>
      </c>
      <c r="H45" s="336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 spans="1:26" ht="15.75" customHeight="1" x14ac:dyDescent="0.25">
      <c r="A46" s="48" t="s">
        <v>76</v>
      </c>
      <c r="B46" s="340">
        <f t="shared" ref="B46:G46" si="11">SUM(B37:B45)</f>
        <v>651</v>
      </c>
      <c r="C46" s="340">
        <f t="shared" si="11"/>
        <v>5230</v>
      </c>
      <c r="D46" s="340">
        <f t="shared" si="11"/>
        <v>4294</v>
      </c>
      <c r="E46" s="340">
        <f t="shared" si="11"/>
        <v>5407.71</v>
      </c>
      <c r="F46" s="340">
        <f t="shared" si="11"/>
        <v>5653.38</v>
      </c>
      <c r="G46" s="340">
        <f t="shared" si="11"/>
        <v>5542.87</v>
      </c>
      <c r="H46" s="325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5.75" customHeight="1" x14ac:dyDescent="0.25">
      <c r="A47" s="48" t="s">
        <v>77</v>
      </c>
      <c r="B47" s="326"/>
      <c r="C47" s="332">
        <f>284.9</f>
        <v>284.89999999999998</v>
      </c>
      <c r="D47" s="332">
        <f>20</f>
        <v>20</v>
      </c>
      <c r="E47" s="326"/>
      <c r="F47" s="327"/>
      <c r="G47" s="326"/>
      <c r="H47" s="325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5.75" customHeight="1" x14ac:dyDescent="0.25">
      <c r="A48" s="48" t="s">
        <v>78</v>
      </c>
      <c r="B48" s="332">
        <f>570</f>
        <v>570</v>
      </c>
      <c r="C48" s="332">
        <f>625</f>
        <v>625</v>
      </c>
      <c r="D48" s="332">
        <f>631</f>
        <v>631</v>
      </c>
      <c r="E48" s="332">
        <f>723.78</f>
        <v>723.78</v>
      </c>
      <c r="F48" s="332">
        <f>484.37</f>
        <v>484.37</v>
      </c>
      <c r="G48" s="332">
        <f>95</f>
        <v>95</v>
      </c>
      <c r="H48" s="325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5.75" customHeight="1" x14ac:dyDescent="0.25">
      <c r="A49" s="48" t="s">
        <v>81</v>
      </c>
      <c r="B49" s="332">
        <f>13.33</f>
        <v>13.33</v>
      </c>
      <c r="C49" s="332">
        <f>165.33</f>
        <v>165.33</v>
      </c>
      <c r="D49" s="332">
        <f>86.77</f>
        <v>86.77</v>
      </c>
      <c r="E49" s="332">
        <f>277.91</f>
        <v>277.91000000000003</v>
      </c>
      <c r="F49" s="332">
        <f>180.07</f>
        <v>180.07</v>
      </c>
      <c r="G49" s="332">
        <f>111.86</f>
        <v>111.86</v>
      </c>
      <c r="H49" s="325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5.75" customHeight="1" x14ac:dyDescent="0.25">
      <c r="A50" s="27" t="s">
        <v>86</v>
      </c>
      <c r="B50" s="329">
        <f t="shared" ref="B50:G50" si="12">SUM(B29:B36)+SUM(B46:B49)</f>
        <v>4783.8899999999994</v>
      </c>
      <c r="C50" s="329">
        <f t="shared" si="12"/>
        <v>13061.64</v>
      </c>
      <c r="D50" s="329">
        <f t="shared" si="12"/>
        <v>11848.3</v>
      </c>
      <c r="E50" s="329">
        <f t="shared" si="12"/>
        <v>13801.45</v>
      </c>
      <c r="F50" s="329">
        <f t="shared" si="12"/>
        <v>9632.130000000001</v>
      </c>
      <c r="G50" s="329">
        <f t="shared" si="12"/>
        <v>7458.1399999999994</v>
      </c>
      <c r="H50" s="325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25">
      <c r="A51" s="27" t="s">
        <v>565</v>
      </c>
      <c r="B51" s="330">
        <f>-5171</f>
        <v>-5171</v>
      </c>
      <c r="C51" s="330">
        <f>-79</f>
        <v>-79</v>
      </c>
      <c r="D51" s="330">
        <f>8205</f>
        <v>8205</v>
      </c>
      <c r="E51" s="330">
        <f>-1949</f>
        <v>-1949</v>
      </c>
      <c r="F51" s="330">
        <f>1890</f>
        <v>1890</v>
      </c>
      <c r="G51" s="330">
        <f>76</f>
        <v>76</v>
      </c>
      <c r="H51" s="325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25">
      <c r="A52" s="46" t="s">
        <v>87</v>
      </c>
      <c r="B52" s="323"/>
      <c r="C52" s="323"/>
      <c r="D52" s="323"/>
      <c r="E52" s="323"/>
      <c r="F52" s="324"/>
      <c r="G52" s="323"/>
      <c r="H52" s="32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6" t="s">
        <v>88</v>
      </c>
      <c r="B53" s="328">
        <f>7600</f>
        <v>7600</v>
      </c>
      <c r="C53" s="328">
        <f>8900</f>
        <v>8900</v>
      </c>
      <c r="D53" s="328">
        <f>11450</f>
        <v>11450</v>
      </c>
      <c r="E53" s="328">
        <f>11400</f>
        <v>11400</v>
      </c>
      <c r="F53" s="328">
        <f>4750</f>
        <v>4750</v>
      </c>
      <c r="G53" s="328">
        <f>950</f>
        <v>950</v>
      </c>
      <c r="H53" s="32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6" t="s">
        <v>89</v>
      </c>
      <c r="B54" s="323"/>
      <c r="C54" s="323"/>
      <c r="D54" s="323"/>
      <c r="E54" s="323"/>
      <c r="F54" s="324"/>
      <c r="G54" s="323"/>
      <c r="H54" s="32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6" t="s">
        <v>90</v>
      </c>
      <c r="B55" s="328">
        <f>4200</f>
        <v>4200</v>
      </c>
      <c r="C55" s="328">
        <f>4530</f>
        <v>4530</v>
      </c>
      <c r="D55" s="328">
        <f>13013.55</f>
        <v>13013.55</v>
      </c>
      <c r="E55" s="323"/>
      <c r="F55" s="324"/>
      <c r="G55" s="323"/>
      <c r="H55" s="32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6" t="s">
        <v>91</v>
      </c>
      <c r="B56" s="328">
        <f>9161.6</f>
        <v>9161.6</v>
      </c>
      <c r="C56" s="328">
        <f>4303.53</f>
        <v>4303.53</v>
      </c>
      <c r="D56" s="323"/>
      <c r="E56" s="323"/>
      <c r="F56" s="324"/>
      <c r="G56" s="323"/>
      <c r="H56" s="32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6" t="s">
        <v>566</v>
      </c>
      <c r="B57" s="328">
        <f>250</f>
        <v>250</v>
      </c>
      <c r="C57" s="328">
        <f>800</f>
        <v>800</v>
      </c>
      <c r="D57" s="328">
        <f>150</f>
        <v>150</v>
      </c>
      <c r="E57" s="328">
        <f>305.25</f>
        <v>305.25</v>
      </c>
      <c r="F57" s="328">
        <f>366.5</f>
        <v>366.5</v>
      </c>
      <c r="G57" s="328">
        <f>98.25</f>
        <v>98.25</v>
      </c>
      <c r="H57" s="32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6" t="s">
        <v>92</v>
      </c>
      <c r="B58" s="328">
        <f>10030.86</f>
        <v>10030.86</v>
      </c>
      <c r="C58" s="328">
        <f>7870</f>
        <v>7870</v>
      </c>
      <c r="D58" s="328">
        <f>800</f>
        <v>800</v>
      </c>
      <c r="E58" s="323"/>
      <c r="F58" s="324"/>
      <c r="G58" s="323"/>
      <c r="H58" s="32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6" t="s">
        <v>93</v>
      </c>
      <c r="B59" s="328">
        <f>118</f>
        <v>118</v>
      </c>
      <c r="C59" s="323"/>
      <c r="D59" s="323"/>
      <c r="E59" s="323"/>
      <c r="F59" s="324"/>
      <c r="G59" s="323"/>
      <c r="H59" s="32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27" t="s">
        <v>94</v>
      </c>
      <c r="B60" s="329">
        <f t="shared" ref="B60:G60" si="13">SUM(B52:B59)</f>
        <v>31360.46</v>
      </c>
      <c r="C60" s="329">
        <f t="shared" si="13"/>
        <v>26403.53</v>
      </c>
      <c r="D60" s="329">
        <f t="shared" si="13"/>
        <v>25413.55</v>
      </c>
      <c r="E60" s="329">
        <f t="shared" si="13"/>
        <v>11705.25</v>
      </c>
      <c r="F60" s="329">
        <f t="shared" si="13"/>
        <v>5116.5</v>
      </c>
      <c r="G60" s="329">
        <f t="shared" si="13"/>
        <v>1048.25</v>
      </c>
      <c r="H60" s="325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25">
      <c r="A61" s="46" t="s">
        <v>567</v>
      </c>
      <c r="B61" s="323"/>
      <c r="C61" s="323"/>
      <c r="D61" s="323"/>
      <c r="E61" s="323"/>
      <c r="F61" s="324"/>
      <c r="G61" s="323"/>
      <c r="H61" s="32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8" t="s">
        <v>568</v>
      </c>
      <c r="B62" s="332">
        <f>2869</f>
        <v>2869</v>
      </c>
      <c r="C62" s="332">
        <f>1157.79</f>
        <v>1157.79</v>
      </c>
      <c r="D62" s="326"/>
      <c r="E62" s="332">
        <f>1041.63</f>
        <v>1041.6300000000001</v>
      </c>
      <c r="F62" s="327"/>
      <c r="G62" s="326"/>
      <c r="H62" s="325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x14ac:dyDescent="0.25">
      <c r="A63" s="48" t="s">
        <v>569</v>
      </c>
      <c r="B63" s="332">
        <f>1379.05</f>
        <v>1379.05</v>
      </c>
      <c r="C63" s="326"/>
      <c r="D63" s="326"/>
      <c r="E63" s="326"/>
      <c r="F63" s="327"/>
      <c r="G63" s="326"/>
      <c r="H63" s="325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x14ac:dyDescent="0.25">
      <c r="A64" s="48" t="s">
        <v>570</v>
      </c>
      <c r="B64" s="332">
        <f>1500</f>
        <v>1500</v>
      </c>
      <c r="C64" s="332">
        <f>2625</f>
        <v>2625</v>
      </c>
      <c r="D64" s="332">
        <f>1134</f>
        <v>1134</v>
      </c>
      <c r="E64" s="332">
        <f>307.69</f>
        <v>307.69</v>
      </c>
      <c r="F64" s="332">
        <f t="shared" ref="F64:G64" si="14">1247</f>
        <v>1247</v>
      </c>
      <c r="G64" s="332">
        <f t="shared" si="14"/>
        <v>1247</v>
      </c>
      <c r="H64" s="325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5.75" customHeight="1" x14ac:dyDescent="0.25">
      <c r="A65" s="48" t="s">
        <v>571</v>
      </c>
      <c r="B65" s="332">
        <f>42.76</f>
        <v>42.76</v>
      </c>
      <c r="C65" s="326"/>
      <c r="D65" s="326"/>
      <c r="E65" s="332">
        <f>1644.08</f>
        <v>1644.08</v>
      </c>
      <c r="F65" s="327"/>
      <c r="G65" s="326"/>
      <c r="H65" s="325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.75" customHeight="1" x14ac:dyDescent="0.25">
      <c r="A66" s="48" t="s">
        <v>572</v>
      </c>
      <c r="B66" s="332">
        <f>6167.87</f>
        <v>6167.87</v>
      </c>
      <c r="C66" s="332">
        <f>2727.02</f>
        <v>2727.02</v>
      </c>
      <c r="D66" s="326"/>
      <c r="E66" s="326"/>
      <c r="F66" s="332">
        <f>2494</f>
        <v>2494</v>
      </c>
      <c r="G66" s="332">
        <f>2844</f>
        <v>2844</v>
      </c>
      <c r="H66" s="325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.75" customHeight="1" x14ac:dyDescent="0.25">
      <c r="A67" s="79" t="s">
        <v>573</v>
      </c>
      <c r="B67" s="333">
        <f>28532</f>
        <v>28532</v>
      </c>
      <c r="C67" s="334"/>
      <c r="D67" s="334"/>
      <c r="E67" s="334"/>
      <c r="F67" s="333">
        <f>21355.11</f>
        <v>21355.11</v>
      </c>
      <c r="G67" s="333">
        <f>22718.48</f>
        <v>22718.48</v>
      </c>
      <c r="H67" s="336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:26" ht="15.75" customHeight="1" x14ac:dyDescent="0.25">
      <c r="A68" s="79" t="s">
        <v>574</v>
      </c>
      <c r="B68" s="334"/>
      <c r="C68" s="334"/>
      <c r="D68" s="333">
        <f>393016</f>
        <v>393016</v>
      </c>
      <c r="E68" s="333">
        <f>51599.25</f>
        <v>51599.25</v>
      </c>
      <c r="F68" s="333">
        <f>64459.22</f>
        <v>64459.22</v>
      </c>
      <c r="G68" s="333">
        <f>48315.07</f>
        <v>48315.07</v>
      </c>
      <c r="H68" s="336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spans="1:26" ht="15.75" customHeight="1" x14ac:dyDescent="0.25">
      <c r="A69" s="48" t="s">
        <v>575</v>
      </c>
      <c r="B69" s="340">
        <f t="shared" ref="B69:G69" si="15">(B67)+(B68)</f>
        <v>28532</v>
      </c>
      <c r="C69" s="340">
        <f t="shared" si="15"/>
        <v>0</v>
      </c>
      <c r="D69" s="340">
        <f t="shared" si="15"/>
        <v>393016</v>
      </c>
      <c r="E69" s="340">
        <f t="shared" si="15"/>
        <v>51599.25</v>
      </c>
      <c r="F69" s="340">
        <f t="shared" si="15"/>
        <v>85814.33</v>
      </c>
      <c r="G69" s="340">
        <f t="shared" si="15"/>
        <v>71033.55</v>
      </c>
      <c r="H69" s="325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5.75" customHeight="1" x14ac:dyDescent="0.25">
      <c r="A70" s="48" t="s">
        <v>576</v>
      </c>
      <c r="B70" s="332">
        <f>394.75</f>
        <v>394.75</v>
      </c>
      <c r="C70" s="326"/>
      <c r="D70" s="326"/>
      <c r="E70" s="326"/>
      <c r="F70" s="327"/>
      <c r="G70" s="326"/>
      <c r="H70" s="325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.75" customHeight="1" x14ac:dyDescent="0.25">
      <c r="A71" s="27" t="s">
        <v>577</v>
      </c>
      <c r="B71" s="329">
        <f t="shared" ref="B71:G71" si="16">SUM(B62:B66)+SUM(B69:B70)</f>
        <v>40885.43</v>
      </c>
      <c r="C71" s="329">
        <f t="shared" si="16"/>
        <v>6509.8099999999995</v>
      </c>
      <c r="D71" s="329">
        <f t="shared" si="16"/>
        <v>394150</v>
      </c>
      <c r="E71" s="329">
        <f t="shared" si="16"/>
        <v>54592.65</v>
      </c>
      <c r="F71" s="329">
        <f t="shared" si="16"/>
        <v>89555.33</v>
      </c>
      <c r="G71" s="329">
        <f t="shared" si="16"/>
        <v>75124.55</v>
      </c>
      <c r="H71" s="325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 x14ac:dyDescent="0.25">
      <c r="A72" s="108" t="s">
        <v>103</v>
      </c>
      <c r="B72" s="341">
        <f t="shared" ref="B72:G72" si="17">SUM(B9:B12)+SUM(B13:B14)+B27+B50+B60+B71</f>
        <v>408681.52</v>
      </c>
      <c r="C72" s="341">
        <f t="shared" si="17"/>
        <v>366246.74000000005</v>
      </c>
      <c r="D72" s="341">
        <f t="shared" si="17"/>
        <v>1150056.79</v>
      </c>
      <c r="E72" s="341">
        <f t="shared" si="17"/>
        <v>517130.51000000007</v>
      </c>
      <c r="F72" s="341">
        <f t="shared" si="17"/>
        <v>575056.82999999996</v>
      </c>
      <c r="G72" s="341">
        <f t="shared" si="17"/>
        <v>388869.95</v>
      </c>
      <c r="H72" s="32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25">
      <c r="A73" s="20"/>
      <c r="B73" s="342"/>
      <c r="C73" s="342"/>
      <c r="D73" s="342"/>
      <c r="E73" s="342"/>
      <c r="F73" s="342"/>
      <c r="G73" s="342"/>
      <c r="H73" s="32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17" t="s">
        <v>104</v>
      </c>
      <c r="B74" s="343">
        <f t="shared" ref="B74:G74" si="18">(B72)-(0)</f>
        <v>408681.52</v>
      </c>
      <c r="C74" s="343">
        <f t="shared" si="18"/>
        <v>366246.74000000005</v>
      </c>
      <c r="D74" s="343">
        <f t="shared" si="18"/>
        <v>1150056.79</v>
      </c>
      <c r="E74" s="343">
        <f t="shared" si="18"/>
        <v>517130.51000000007</v>
      </c>
      <c r="F74" s="343">
        <f t="shared" si="18"/>
        <v>575056.82999999996</v>
      </c>
      <c r="G74" s="343">
        <f t="shared" si="18"/>
        <v>388869.95</v>
      </c>
      <c r="H74" s="325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</row>
    <row r="75" spans="1:26" ht="15.75" customHeight="1" x14ac:dyDescent="0.25">
      <c r="A75" s="20"/>
      <c r="B75" s="323"/>
      <c r="C75" s="323"/>
      <c r="D75" s="323"/>
      <c r="E75" s="323"/>
      <c r="F75" s="324"/>
      <c r="G75" s="323"/>
      <c r="H75" s="32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20" t="s">
        <v>105</v>
      </c>
      <c r="B76" s="323"/>
      <c r="C76" s="323"/>
      <c r="D76" s="323"/>
      <c r="E76" s="323"/>
      <c r="F76" s="324"/>
      <c r="G76" s="323"/>
      <c r="H76" s="32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22" t="s">
        <v>107</v>
      </c>
      <c r="B77" s="344">
        <f>180</f>
        <v>180</v>
      </c>
      <c r="C77" s="344">
        <f>0</f>
        <v>0</v>
      </c>
      <c r="D77" s="344">
        <f>165</f>
        <v>165</v>
      </c>
      <c r="E77" s="344">
        <f>0</f>
        <v>0</v>
      </c>
      <c r="F77" s="345"/>
      <c r="G77" s="346"/>
      <c r="H77" s="325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</row>
    <row r="78" spans="1:26" ht="15.75" customHeight="1" x14ac:dyDescent="0.25">
      <c r="A78" s="133" t="s">
        <v>109</v>
      </c>
      <c r="B78" s="347"/>
      <c r="C78" s="347"/>
      <c r="D78" s="347"/>
      <c r="E78" s="347"/>
      <c r="F78" s="348"/>
      <c r="G78" s="347"/>
      <c r="H78" s="325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</row>
    <row r="79" spans="1:26" ht="15.75" customHeight="1" x14ac:dyDescent="0.25">
      <c r="A79" s="133" t="s">
        <v>111</v>
      </c>
      <c r="B79" s="349">
        <f>22714.56</f>
        <v>22714.560000000001</v>
      </c>
      <c r="C79" s="349">
        <f>24672</f>
        <v>24672</v>
      </c>
      <c r="D79" s="349">
        <f>26496</f>
        <v>26496</v>
      </c>
      <c r="E79" s="349">
        <f>28704</f>
        <v>28704</v>
      </c>
      <c r="F79" s="349">
        <f>29896</f>
        <v>29896</v>
      </c>
      <c r="G79" s="349">
        <f>22869</f>
        <v>22869</v>
      </c>
      <c r="H79" s="325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</row>
    <row r="80" spans="1:26" ht="15.75" customHeight="1" x14ac:dyDescent="0.25">
      <c r="A80" s="133" t="s">
        <v>114</v>
      </c>
      <c r="B80" s="349">
        <f>2343.46</f>
        <v>2343.46</v>
      </c>
      <c r="C80" s="349">
        <f>2293.17</f>
        <v>2293.17</v>
      </c>
      <c r="D80" s="349">
        <f>2318.31</f>
        <v>2318.31</v>
      </c>
      <c r="E80" s="349">
        <f>2397.05</f>
        <v>2397.0500000000002</v>
      </c>
      <c r="F80" s="349">
        <f>2428.18</f>
        <v>2428.1799999999998</v>
      </c>
      <c r="G80" s="349">
        <f>1830.65</f>
        <v>1830.65</v>
      </c>
      <c r="H80" s="325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</row>
    <row r="81" spans="1:26" ht="15.75" customHeight="1" x14ac:dyDescent="0.25">
      <c r="A81" s="83" t="s">
        <v>117</v>
      </c>
      <c r="B81" s="338">
        <f>40085.8</f>
        <v>40085.800000000003</v>
      </c>
      <c r="C81" s="338">
        <f>43429.69</f>
        <v>43429.69</v>
      </c>
      <c r="D81" s="338">
        <f>44205.76</f>
        <v>44205.760000000002</v>
      </c>
      <c r="E81" s="338">
        <f>45652.38</f>
        <v>45652.38</v>
      </c>
      <c r="F81" s="338">
        <f>46492.7</f>
        <v>46492.7</v>
      </c>
      <c r="G81" s="338">
        <f>35936.6</f>
        <v>35936.6</v>
      </c>
      <c r="H81" s="336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spans="1:26" ht="15.75" customHeight="1" x14ac:dyDescent="0.25">
      <c r="A82" s="83" t="s">
        <v>119</v>
      </c>
      <c r="B82" s="338">
        <f>96.72</f>
        <v>96.72</v>
      </c>
      <c r="C82" s="338">
        <f>96.97</f>
        <v>96.97</v>
      </c>
      <c r="D82" s="338">
        <f>102.97</f>
        <v>102.97</v>
      </c>
      <c r="E82" s="338">
        <f>108.97</f>
        <v>108.97</v>
      </c>
      <c r="F82" s="338">
        <f>112.97</f>
        <v>112.97</v>
      </c>
      <c r="G82" s="338">
        <f>81.26</f>
        <v>81.260000000000005</v>
      </c>
      <c r="H82" s="336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</row>
    <row r="83" spans="1:26" ht="15.75" customHeight="1" x14ac:dyDescent="0.25">
      <c r="A83" s="83" t="s">
        <v>121</v>
      </c>
      <c r="B83" s="338">
        <f>499.92</f>
        <v>499.92</v>
      </c>
      <c r="C83" s="338">
        <f>770.83</f>
        <v>770.83</v>
      </c>
      <c r="D83" s="338">
        <f>1020.68</f>
        <v>1020.68</v>
      </c>
      <c r="E83" s="338">
        <f t="shared" ref="E83:F83" si="19">1500</f>
        <v>1500</v>
      </c>
      <c r="F83" s="338">
        <f t="shared" si="19"/>
        <v>1500</v>
      </c>
      <c r="G83" s="338">
        <f>1062.5</f>
        <v>1062.5</v>
      </c>
      <c r="H83" s="336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 spans="1:26" ht="15.75" customHeight="1" x14ac:dyDescent="0.25">
      <c r="A84" s="83" t="s">
        <v>122</v>
      </c>
      <c r="B84" s="338">
        <f>999.84</f>
        <v>999.84</v>
      </c>
      <c r="C84" s="338">
        <f>729.17</f>
        <v>729.17</v>
      </c>
      <c r="D84" s="338">
        <f t="shared" ref="D84:E84" si="20">499.92</f>
        <v>499.92</v>
      </c>
      <c r="E84" s="338">
        <f t="shared" si="20"/>
        <v>499.92</v>
      </c>
      <c r="F84" s="338">
        <f>354.11</f>
        <v>354.11</v>
      </c>
      <c r="G84" s="338">
        <f>187.47</f>
        <v>187.47</v>
      </c>
      <c r="H84" s="336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</row>
    <row r="85" spans="1:26" ht="15.75" customHeight="1" x14ac:dyDescent="0.25">
      <c r="A85" s="133" t="s">
        <v>123</v>
      </c>
      <c r="B85" s="350">
        <f t="shared" ref="B85:G85" si="21">SUM(B81:B84)</f>
        <v>41682.28</v>
      </c>
      <c r="C85" s="350">
        <f t="shared" si="21"/>
        <v>45026.66</v>
      </c>
      <c r="D85" s="350">
        <f t="shared" si="21"/>
        <v>45829.33</v>
      </c>
      <c r="E85" s="350">
        <f t="shared" si="21"/>
        <v>47761.27</v>
      </c>
      <c r="F85" s="350">
        <f t="shared" si="21"/>
        <v>48459.78</v>
      </c>
      <c r="G85" s="350">
        <f t="shared" si="21"/>
        <v>37267.83</v>
      </c>
      <c r="H85" s="325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</row>
    <row r="86" spans="1:26" ht="15.75" customHeight="1" x14ac:dyDescent="0.25">
      <c r="A86" s="133" t="s">
        <v>125</v>
      </c>
      <c r="B86" s="349">
        <f>14166.68</f>
        <v>14166.68</v>
      </c>
      <c r="C86" s="349">
        <f t="shared" ref="C86:F86" si="22">12000</f>
        <v>12000</v>
      </c>
      <c r="D86" s="349">
        <f t="shared" si="22"/>
        <v>12000</v>
      </c>
      <c r="E86" s="349">
        <f t="shared" si="22"/>
        <v>12000</v>
      </c>
      <c r="F86" s="349">
        <f t="shared" si="22"/>
        <v>12000</v>
      </c>
      <c r="G86" s="349">
        <f>8500</f>
        <v>8500</v>
      </c>
      <c r="H86" s="325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</row>
    <row r="87" spans="1:26" ht="15.75" customHeight="1" x14ac:dyDescent="0.25">
      <c r="A87" s="133" t="s">
        <v>126</v>
      </c>
      <c r="B87" s="349">
        <f>9372.14</f>
        <v>9372.14</v>
      </c>
      <c r="C87" s="349">
        <f>9095.64</f>
        <v>9095.64</v>
      </c>
      <c r="D87" s="349">
        <f>9274.11</f>
        <v>9274.11</v>
      </c>
      <c r="E87" s="349">
        <f>9588.72</f>
        <v>9588.7199999999993</v>
      </c>
      <c r="F87" s="349">
        <f>9712.85</f>
        <v>9712.85</v>
      </c>
      <c r="G87" s="349">
        <f>7322.56</f>
        <v>7322.56</v>
      </c>
      <c r="H87" s="325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</row>
    <row r="88" spans="1:26" ht="15.75" customHeight="1" x14ac:dyDescent="0.25">
      <c r="A88" s="133" t="s">
        <v>511</v>
      </c>
      <c r="B88" s="349">
        <f>3514.55</f>
        <v>3514.55</v>
      </c>
      <c r="C88" s="349">
        <f>3030.45</f>
        <v>3030.45</v>
      </c>
      <c r="D88" s="349">
        <f>3091.37</f>
        <v>3091.37</v>
      </c>
      <c r="E88" s="349">
        <f>2716.9</f>
        <v>2716.9</v>
      </c>
      <c r="F88" s="349">
        <f>2385.74</f>
        <v>2385.7399999999998</v>
      </c>
      <c r="G88" s="349">
        <f>1626.94</f>
        <v>1626.94</v>
      </c>
      <c r="H88" s="325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</row>
    <row r="89" spans="1:26" ht="15.75" customHeight="1" x14ac:dyDescent="0.25">
      <c r="A89" s="133" t="s">
        <v>131</v>
      </c>
      <c r="B89" s="349">
        <f>4272.95</f>
        <v>4272.95</v>
      </c>
      <c r="C89" s="349">
        <f>4363.25</f>
        <v>4363.25</v>
      </c>
      <c r="D89" s="349">
        <f>4424.54</f>
        <v>4424.54</v>
      </c>
      <c r="E89" s="349">
        <f>4571.71</f>
        <v>4571.71</v>
      </c>
      <c r="F89" s="349">
        <f>4624.65</f>
        <v>4624.6499999999996</v>
      </c>
      <c r="G89" s="349">
        <f>3292.51</f>
        <v>3292.51</v>
      </c>
      <c r="H89" s="325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</row>
    <row r="90" spans="1:26" ht="15.75" customHeight="1" x14ac:dyDescent="0.25">
      <c r="A90" s="122" t="s">
        <v>132</v>
      </c>
      <c r="B90" s="351">
        <f t="shared" ref="B90:G90" si="23">(((((((B78)+(B79))+(B80))+(B85))+(B86))+(B87))+(B88))+(B89)</f>
        <v>98066.62000000001</v>
      </c>
      <c r="C90" s="351">
        <f t="shared" si="23"/>
        <v>100481.17</v>
      </c>
      <c r="D90" s="351">
        <f t="shared" si="23"/>
        <v>103433.65999999999</v>
      </c>
      <c r="E90" s="351">
        <f t="shared" si="23"/>
        <v>107739.65</v>
      </c>
      <c r="F90" s="351">
        <f t="shared" si="23"/>
        <v>109507.2</v>
      </c>
      <c r="G90" s="351">
        <f t="shared" si="23"/>
        <v>82709.490000000005</v>
      </c>
      <c r="H90" s="325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</row>
    <row r="91" spans="1:26" ht="15.75" customHeight="1" x14ac:dyDescent="0.25">
      <c r="A91" s="46" t="s">
        <v>134</v>
      </c>
      <c r="B91" s="323"/>
      <c r="C91" s="323"/>
      <c r="D91" s="323"/>
      <c r="E91" s="323"/>
      <c r="F91" s="324"/>
      <c r="G91" s="323"/>
      <c r="H91" s="32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6" t="s">
        <v>135</v>
      </c>
      <c r="B92" s="328">
        <f t="shared" ref="B92:D92" si="24">900</f>
        <v>900</v>
      </c>
      <c r="C92" s="328">
        <f t="shared" si="24"/>
        <v>900</v>
      </c>
      <c r="D92" s="328">
        <f t="shared" si="24"/>
        <v>900</v>
      </c>
      <c r="E92" s="328">
        <f>644.11</f>
        <v>644.11</v>
      </c>
      <c r="F92" s="328">
        <f>767.5</f>
        <v>767.5</v>
      </c>
      <c r="G92" s="328">
        <f>600</f>
        <v>600</v>
      </c>
      <c r="H92" s="32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6" t="s">
        <v>137</v>
      </c>
      <c r="B93" s="328">
        <f>1638.28</f>
        <v>1638.28</v>
      </c>
      <c r="C93" s="328">
        <f>2524.01</f>
        <v>2524.0100000000002</v>
      </c>
      <c r="D93" s="328">
        <f>2226.27</f>
        <v>2226.27</v>
      </c>
      <c r="E93" s="328">
        <f>1446.84</f>
        <v>1446.84</v>
      </c>
      <c r="F93" s="328">
        <f>625.08</f>
        <v>625.08000000000004</v>
      </c>
      <c r="G93" s="328">
        <f>485.88</f>
        <v>485.88</v>
      </c>
      <c r="H93" s="32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6" t="s">
        <v>138</v>
      </c>
      <c r="B94" s="328">
        <f>908.9</f>
        <v>908.9</v>
      </c>
      <c r="C94" s="328">
        <f>641.96</f>
        <v>641.96</v>
      </c>
      <c r="D94" s="328">
        <f>504.83</f>
        <v>504.83</v>
      </c>
      <c r="E94" s="328">
        <f>329.54</f>
        <v>329.54</v>
      </c>
      <c r="F94" s="328">
        <f>303.93</f>
        <v>303.93</v>
      </c>
      <c r="G94" s="328">
        <f>253.93</f>
        <v>253.93</v>
      </c>
      <c r="H94" s="32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6" t="s">
        <v>139</v>
      </c>
      <c r="B95" s="328">
        <f>820.64</f>
        <v>820.64</v>
      </c>
      <c r="C95" s="328">
        <f>690.76</f>
        <v>690.76</v>
      </c>
      <c r="D95" s="328">
        <f>1352.96</f>
        <v>1352.96</v>
      </c>
      <c r="E95" s="328">
        <f>380.65</f>
        <v>380.65</v>
      </c>
      <c r="F95" s="328">
        <f>68.51</f>
        <v>68.510000000000005</v>
      </c>
      <c r="G95" s="328">
        <f>83.19</f>
        <v>83.19</v>
      </c>
      <c r="H95" s="32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6" t="s">
        <v>578</v>
      </c>
      <c r="B96" s="323"/>
      <c r="C96" s="323"/>
      <c r="D96" s="323"/>
      <c r="E96" s="323"/>
      <c r="F96" s="324"/>
      <c r="G96" s="323"/>
      <c r="H96" s="32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6" t="s">
        <v>142</v>
      </c>
      <c r="B97" s="323"/>
      <c r="C97" s="323"/>
      <c r="D97" s="323"/>
      <c r="E97" s="328">
        <f t="shared" ref="E97:G97" si="25">600</f>
        <v>600</v>
      </c>
      <c r="F97" s="328">
        <f t="shared" si="25"/>
        <v>600</v>
      </c>
      <c r="G97" s="328">
        <f t="shared" si="25"/>
        <v>600</v>
      </c>
      <c r="H97" s="32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22" t="s">
        <v>144</v>
      </c>
      <c r="B98" s="351">
        <f t="shared" ref="B98:G98" si="26">SUM(B91:B97)</f>
        <v>4267.82</v>
      </c>
      <c r="C98" s="351">
        <f t="shared" si="26"/>
        <v>4756.7300000000005</v>
      </c>
      <c r="D98" s="351">
        <f t="shared" si="26"/>
        <v>4984.0599999999995</v>
      </c>
      <c r="E98" s="351">
        <f t="shared" si="26"/>
        <v>3401.14</v>
      </c>
      <c r="F98" s="351">
        <f t="shared" si="26"/>
        <v>2365.02</v>
      </c>
      <c r="G98" s="351">
        <f t="shared" si="26"/>
        <v>2023.0000000000002</v>
      </c>
      <c r="H98" s="325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</row>
    <row r="99" spans="1:26" ht="15.75" customHeight="1" x14ac:dyDescent="0.25">
      <c r="A99" s="46" t="s">
        <v>145</v>
      </c>
      <c r="B99" s="323"/>
      <c r="C99" s="323"/>
      <c r="D99" s="323"/>
      <c r="E99" s="323"/>
      <c r="F99" s="324"/>
      <c r="G99" s="323"/>
      <c r="H99" s="32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33" t="s">
        <v>151</v>
      </c>
      <c r="B100" s="347"/>
      <c r="C100" s="347"/>
      <c r="D100" s="349">
        <f>3040</f>
        <v>3040</v>
      </c>
      <c r="E100" s="347"/>
      <c r="F100" s="348"/>
      <c r="G100" s="347"/>
      <c r="H100" s="325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</row>
    <row r="101" spans="1:26" ht="15.75" customHeight="1" x14ac:dyDescent="0.25">
      <c r="A101" s="83" t="s">
        <v>152</v>
      </c>
      <c r="B101" s="338">
        <f t="shared" ref="B101:D101" si="27">9547.2</f>
        <v>9547.2000000000007</v>
      </c>
      <c r="C101" s="338">
        <f t="shared" si="27"/>
        <v>9547.2000000000007</v>
      </c>
      <c r="D101" s="338">
        <f t="shared" si="27"/>
        <v>9547.2000000000007</v>
      </c>
      <c r="E101" s="338">
        <f>9803.88</f>
        <v>9803.8799999999992</v>
      </c>
      <c r="F101" s="338">
        <f>9913.14</f>
        <v>9913.14</v>
      </c>
      <c r="G101" s="338">
        <f>7472.46</f>
        <v>7472.46</v>
      </c>
      <c r="H101" s="336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 spans="1:26" ht="15.75" customHeight="1" x14ac:dyDescent="0.25">
      <c r="A102" s="83" t="s">
        <v>154</v>
      </c>
      <c r="B102" s="338">
        <f t="shared" ref="B102:D102" si="28">367.2</f>
        <v>367.2</v>
      </c>
      <c r="C102" s="338">
        <f t="shared" si="28"/>
        <v>367.2</v>
      </c>
      <c r="D102" s="338">
        <f t="shared" si="28"/>
        <v>367.2</v>
      </c>
      <c r="E102" s="338">
        <f>377.5</f>
        <v>377.5</v>
      </c>
      <c r="F102" s="338">
        <f>380.52</f>
        <v>380.52</v>
      </c>
      <c r="G102" s="338">
        <f>191.77</f>
        <v>191.77</v>
      </c>
      <c r="H102" s="336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 spans="1:26" ht="15.75" customHeight="1" x14ac:dyDescent="0.25">
      <c r="A103" s="133" t="s">
        <v>156</v>
      </c>
      <c r="B103" s="352">
        <f t="shared" ref="B103:G103" si="29">SUM(B101:B102)</f>
        <v>9914.4000000000015</v>
      </c>
      <c r="C103" s="352">
        <f t="shared" si="29"/>
        <v>9914.4000000000015</v>
      </c>
      <c r="D103" s="352">
        <f t="shared" si="29"/>
        <v>9914.4000000000015</v>
      </c>
      <c r="E103" s="352">
        <f t="shared" si="29"/>
        <v>10181.379999999999</v>
      </c>
      <c r="F103" s="352">
        <f t="shared" si="29"/>
        <v>10293.66</v>
      </c>
      <c r="G103" s="352">
        <f t="shared" si="29"/>
        <v>7664.2300000000005</v>
      </c>
      <c r="H103" s="325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</row>
    <row r="104" spans="1:26" ht="15.75" customHeight="1" x14ac:dyDescent="0.25">
      <c r="A104" s="83" t="s">
        <v>157</v>
      </c>
      <c r="B104" s="338">
        <f t="shared" ref="B104:D104" si="30">9600</f>
        <v>9600</v>
      </c>
      <c r="C104" s="338">
        <f t="shared" si="30"/>
        <v>9600</v>
      </c>
      <c r="D104" s="338">
        <f t="shared" si="30"/>
        <v>9600</v>
      </c>
      <c r="E104" s="338">
        <f>3967.5</f>
        <v>3967.5</v>
      </c>
      <c r="F104" s="338">
        <f>4194.6</f>
        <v>4194.6000000000004</v>
      </c>
      <c r="G104" s="338">
        <f>2961.54</f>
        <v>2961.54</v>
      </c>
      <c r="H104" s="336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 spans="1:26" ht="15.75" customHeight="1" x14ac:dyDescent="0.25">
      <c r="A105" s="83" t="s">
        <v>158</v>
      </c>
      <c r="B105" s="338">
        <f>148.2</f>
        <v>148.19999999999999</v>
      </c>
      <c r="C105" s="338">
        <f>246.1</f>
        <v>246.1</v>
      </c>
      <c r="D105" s="338">
        <f>203.5</f>
        <v>203.5</v>
      </c>
      <c r="E105" s="338">
        <f>27.84</f>
        <v>27.84</v>
      </c>
      <c r="F105" s="339"/>
      <c r="G105" s="337"/>
      <c r="H105" s="336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spans="1:26" ht="15.75" customHeight="1" x14ac:dyDescent="0.25">
      <c r="A106" s="133" t="s">
        <v>159</v>
      </c>
      <c r="B106" s="352">
        <f t="shared" ref="B106:G106" si="31">SUM(B104:B105)</f>
        <v>9748.2000000000007</v>
      </c>
      <c r="C106" s="352">
        <f t="shared" si="31"/>
        <v>9846.1</v>
      </c>
      <c r="D106" s="352">
        <f t="shared" si="31"/>
        <v>9803.5</v>
      </c>
      <c r="E106" s="352">
        <f t="shared" si="31"/>
        <v>3995.34</v>
      </c>
      <c r="F106" s="352">
        <f t="shared" si="31"/>
        <v>4194.6000000000004</v>
      </c>
      <c r="G106" s="352">
        <f t="shared" si="31"/>
        <v>2961.54</v>
      </c>
      <c r="H106" s="325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</row>
    <row r="107" spans="1:26" ht="15.75" customHeight="1" x14ac:dyDescent="0.25">
      <c r="A107" s="133" t="s">
        <v>512</v>
      </c>
      <c r="B107" s="349">
        <f>11396.25</f>
        <v>11396.25</v>
      </c>
      <c r="C107" s="349">
        <f>10575</f>
        <v>10575</v>
      </c>
      <c r="D107" s="349">
        <f>10650</f>
        <v>10650</v>
      </c>
      <c r="E107" s="349">
        <f>8553.26</f>
        <v>8553.26</v>
      </c>
      <c r="F107" s="349">
        <f>9068.67</f>
        <v>9068.67</v>
      </c>
      <c r="G107" s="349">
        <f>6480.35</f>
        <v>6480.35</v>
      </c>
      <c r="H107" s="325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</row>
    <row r="108" spans="1:26" ht="15.75" customHeight="1" x14ac:dyDescent="0.25">
      <c r="A108" s="133" t="s">
        <v>161</v>
      </c>
      <c r="B108" s="349">
        <f>1286.25</f>
        <v>1286.25</v>
      </c>
      <c r="C108" s="349">
        <f>1461.15</f>
        <v>1461.15</v>
      </c>
      <c r="D108" s="349">
        <f>1702.65</f>
        <v>1702.65</v>
      </c>
      <c r="E108" s="349">
        <f>2381.85</f>
        <v>2381.85</v>
      </c>
      <c r="F108" s="349">
        <f>2254.2</f>
        <v>2254.1999999999998</v>
      </c>
      <c r="G108" s="349">
        <f>1835.68</f>
        <v>1835.68</v>
      </c>
      <c r="H108" s="325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</row>
    <row r="109" spans="1:26" ht="15.75" customHeight="1" x14ac:dyDescent="0.25">
      <c r="A109" s="133" t="s">
        <v>162</v>
      </c>
      <c r="B109" s="349">
        <f t="shared" ref="B109:C109" si="32">2599.92</f>
        <v>2599.92</v>
      </c>
      <c r="C109" s="349">
        <f t="shared" si="32"/>
        <v>2599.92</v>
      </c>
      <c r="D109" s="349">
        <f>2849.24</f>
        <v>2849.24</v>
      </c>
      <c r="E109" s="349">
        <f>6223.14</f>
        <v>6223.14</v>
      </c>
      <c r="F109" s="349">
        <f>9218.8</f>
        <v>9218.7999999999993</v>
      </c>
      <c r="G109" s="349">
        <f>8247.9</f>
        <v>8247.9</v>
      </c>
      <c r="H109" s="325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</row>
    <row r="110" spans="1:26" ht="15.75" customHeight="1" x14ac:dyDescent="0.25">
      <c r="A110" s="133" t="s">
        <v>163</v>
      </c>
      <c r="B110" s="349">
        <f>2308</f>
        <v>2308</v>
      </c>
      <c r="C110" s="349">
        <f>1590.73</f>
        <v>1590.73</v>
      </c>
      <c r="D110" s="349">
        <f>2579.14</f>
        <v>2579.14</v>
      </c>
      <c r="E110" s="349">
        <f>1705.47</f>
        <v>1705.47</v>
      </c>
      <c r="F110" s="349">
        <f>1376.25</f>
        <v>1376.25</v>
      </c>
      <c r="G110" s="349">
        <f>1016.25</f>
        <v>1016.25</v>
      </c>
      <c r="H110" s="325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</row>
    <row r="111" spans="1:26" ht="15.75" customHeight="1" x14ac:dyDescent="0.25">
      <c r="A111" s="133" t="s">
        <v>164</v>
      </c>
      <c r="B111" s="349">
        <f>6236.25</f>
        <v>6236.25</v>
      </c>
      <c r="C111" s="349">
        <f>6075</f>
        <v>6075</v>
      </c>
      <c r="D111" s="349">
        <f>5655</f>
        <v>5655</v>
      </c>
      <c r="E111" s="349">
        <f>7171.7</f>
        <v>7171.7</v>
      </c>
      <c r="F111" s="349">
        <f>9178.54</f>
        <v>9178.5400000000009</v>
      </c>
      <c r="G111" s="349">
        <f>7623.65</f>
        <v>7623.65</v>
      </c>
      <c r="H111" s="325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</row>
    <row r="112" spans="1:26" ht="15.75" customHeight="1" x14ac:dyDescent="0.25">
      <c r="A112" s="133" t="s">
        <v>165</v>
      </c>
      <c r="B112" s="347"/>
      <c r="C112" s="347"/>
      <c r="D112" s="347"/>
      <c r="E112" s="349">
        <f>1464.92</f>
        <v>1464.92</v>
      </c>
      <c r="F112" s="349">
        <f>2702.37</f>
        <v>2702.37</v>
      </c>
      <c r="G112" s="349">
        <f>2086.8</f>
        <v>2086.8000000000002</v>
      </c>
      <c r="H112" s="325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</row>
    <row r="113" spans="1:26" ht="15.75" customHeight="1" x14ac:dyDescent="0.25">
      <c r="A113" s="133" t="s">
        <v>166</v>
      </c>
      <c r="B113" s="347"/>
      <c r="C113" s="347"/>
      <c r="D113" s="347"/>
      <c r="E113" s="349">
        <f>4236.3</f>
        <v>4236.3</v>
      </c>
      <c r="F113" s="349">
        <f>3685.9</f>
        <v>3685.9</v>
      </c>
      <c r="G113" s="349">
        <f>2589</f>
        <v>2589</v>
      </c>
      <c r="H113" s="325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</row>
    <row r="114" spans="1:26" ht="15.75" customHeight="1" x14ac:dyDescent="0.25">
      <c r="A114" s="122" t="s">
        <v>168</v>
      </c>
      <c r="B114" s="351">
        <f t="shared" ref="B114:G114" si="33">B100+B103+B106+SUM(B107:B113)</f>
        <v>43489.270000000004</v>
      </c>
      <c r="C114" s="351">
        <f t="shared" si="33"/>
        <v>42062.3</v>
      </c>
      <c r="D114" s="351">
        <f t="shared" si="33"/>
        <v>46193.93</v>
      </c>
      <c r="E114" s="351">
        <f t="shared" si="33"/>
        <v>45913.36</v>
      </c>
      <c r="F114" s="351">
        <f t="shared" si="33"/>
        <v>51972.990000000005</v>
      </c>
      <c r="G114" s="351">
        <f t="shared" si="33"/>
        <v>40505.4</v>
      </c>
      <c r="H114" s="325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</row>
    <row r="115" spans="1:26" ht="15.75" customHeight="1" x14ac:dyDescent="0.25">
      <c r="A115" s="46" t="s">
        <v>170</v>
      </c>
      <c r="B115" s="323"/>
      <c r="C115" s="323"/>
      <c r="D115" s="323"/>
      <c r="E115" s="323"/>
      <c r="F115" s="324"/>
      <c r="G115" s="323"/>
      <c r="H115" s="32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83" t="s">
        <v>579</v>
      </c>
      <c r="B116" s="337"/>
      <c r="C116" s="337"/>
      <c r="D116" s="337"/>
      <c r="E116" s="337"/>
      <c r="F116" s="339"/>
      <c r="G116" s="337"/>
      <c r="H116" s="336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</row>
    <row r="117" spans="1:26" ht="15.75" customHeight="1" x14ac:dyDescent="0.25">
      <c r="A117" s="83" t="s">
        <v>580</v>
      </c>
      <c r="B117" s="337"/>
      <c r="C117" s="337"/>
      <c r="D117" s="337"/>
      <c r="E117" s="337"/>
      <c r="F117" s="339"/>
      <c r="G117" s="337"/>
      <c r="H117" s="336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</row>
    <row r="118" spans="1:26" ht="15.75" customHeight="1" x14ac:dyDescent="0.25">
      <c r="A118" s="83" t="s">
        <v>581</v>
      </c>
      <c r="B118" s="337"/>
      <c r="C118" s="337"/>
      <c r="D118" s="337"/>
      <c r="E118" s="337"/>
      <c r="F118" s="339"/>
      <c r="G118" s="337"/>
      <c r="H118" s="336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</row>
    <row r="119" spans="1:26" ht="15.75" customHeight="1" x14ac:dyDescent="0.25">
      <c r="A119" s="83" t="s">
        <v>173</v>
      </c>
      <c r="B119" s="337"/>
      <c r="C119" s="338">
        <f>100</f>
        <v>100</v>
      </c>
      <c r="D119" s="337"/>
      <c r="E119" s="337"/>
      <c r="F119" s="339"/>
      <c r="G119" s="337"/>
      <c r="H119" s="336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</row>
    <row r="120" spans="1:26" ht="15.75" customHeight="1" x14ac:dyDescent="0.25">
      <c r="A120" s="83" t="s">
        <v>174</v>
      </c>
      <c r="B120" s="338">
        <f>130.05</f>
        <v>130.05000000000001</v>
      </c>
      <c r="C120" s="337"/>
      <c r="D120" s="338">
        <f>50</f>
        <v>50</v>
      </c>
      <c r="E120" s="338">
        <f>373.14</f>
        <v>373.14</v>
      </c>
      <c r="F120" s="338">
        <f>323.14</f>
        <v>323.14</v>
      </c>
      <c r="G120" s="337"/>
      <c r="H120" s="336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</row>
    <row r="121" spans="1:26" ht="15.75" customHeight="1" x14ac:dyDescent="0.25">
      <c r="A121" s="83" t="s">
        <v>175</v>
      </c>
      <c r="B121" s="337"/>
      <c r="C121" s="337"/>
      <c r="D121" s="337"/>
      <c r="E121" s="337"/>
      <c r="F121" s="339"/>
      <c r="G121" s="337"/>
      <c r="H121" s="336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</row>
    <row r="122" spans="1:26" ht="15.75" customHeight="1" x14ac:dyDescent="0.25">
      <c r="A122" s="83" t="s">
        <v>582</v>
      </c>
      <c r="B122" s="337"/>
      <c r="C122" s="337"/>
      <c r="D122" s="337"/>
      <c r="E122" s="337"/>
      <c r="F122" s="339"/>
      <c r="G122" s="337"/>
      <c r="H122" s="336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</row>
    <row r="123" spans="1:26" ht="15.75" customHeight="1" x14ac:dyDescent="0.25">
      <c r="A123" s="83" t="s">
        <v>583</v>
      </c>
      <c r="B123" s="337"/>
      <c r="C123" s="337"/>
      <c r="D123" s="337"/>
      <c r="E123" s="337"/>
      <c r="F123" s="339"/>
      <c r="G123" s="337"/>
      <c r="H123" s="336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</row>
    <row r="124" spans="1:26" ht="15.75" customHeight="1" x14ac:dyDescent="0.25">
      <c r="A124" s="83" t="s">
        <v>584</v>
      </c>
      <c r="B124" s="337"/>
      <c r="C124" s="337"/>
      <c r="D124" s="337"/>
      <c r="E124" s="337"/>
      <c r="F124" s="339"/>
      <c r="G124" s="337"/>
      <c r="H124" s="336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</row>
    <row r="125" spans="1:26" ht="15.75" customHeight="1" x14ac:dyDescent="0.25">
      <c r="A125" s="122" t="s">
        <v>176</v>
      </c>
      <c r="B125" s="351">
        <f t="shared" ref="B125:G125" si="34">SUM(B115:B124)</f>
        <v>130.05000000000001</v>
      </c>
      <c r="C125" s="351">
        <f t="shared" si="34"/>
        <v>100</v>
      </c>
      <c r="D125" s="351">
        <f t="shared" si="34"/>
        <v>50</v>
      </c>
      <c r="E125" s="351">
        <f t="shared" si="34"/>
        <v>373.14</v>
      </c>
      <c r="F125" s="351">
        <f t="shared" si="34"/>
        <v>323.14</v>
      </c>
      <c r="G125" s="351">
        <f t="shared" si="34"/>
        <v>0</v>
      </c>
      <c r="H125" s="325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</row>
    <row r="126" spans="1:26" ht="15.75" customHeight="1" x14ac:dyDescent="0.25">
      <c r="A126" s="46" t="s">
        <v>177</v>
      </c>
      <c r="B126" s="328">
        <f>750</f>
        <v>750</v>
      </c>
      <c r="C126" s="328">
        <f>800</f>
        <v>800</v>
      </c>
      <c r="D126" s="328">
        <f>640</f>
        <v>640</v>
      </c>
      <c r="E126" s="328">
        <f t="shared" ref="E126:G126" si="35">320</f>
        <v>320</v>
      </c>
      <c r="F126" s="328">
        <f t="shared" si="35"/>
        <v>320</v>
      </c>
      <c r="G126" s="328">
        <f t="shared" si="35"/>
        <v>320</v>
      </c>
      <c r="H126" s="32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6" t="s">
        <v>179</v>
      </c>
      <c r="B127" s="328">
        <f>79.28</f>
        <v>79.28</v>
      </c>
      <c r="C127" s="328">
        <f>97.05</f>
        <v>97.05</v>
      </c>
      <c r="D127" s="328">
        <f>122.7</f>
        <v>122.7</v>
      </c>
      <c r="E127" s="328">
        <f>72.04</f>
        <v>72.040000000000006</v>
      </c>
      <c r="F127" s="324"/>
      <c r="G127" s="323"/>
      <c r="H127" s="32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22" t="s">
        <v>180</v>
      </c>
      <c r="B128" s="351">
        <f t="shared" ref="B128:G128" si="36">SUM(B126:B127)</f>
        <v>829.28</v>
      </c>
      <c r="C128" s="351">
        <f t="shared" si="36"/>
        <v>897.05</v>
      </c>
      <c r="D128" s="351">
        <f t="shared" si="36"/>
        <v>762.7</v>
      </c>
      <c r="E128" s="351">
        <f t="shared" si="36"/>
        <v>392.04</v>
      </c>
      <c r="F128" s="351">
        <f t="shared" si="36"/>
        <v>320</v>
      </c>
      <c r="G128" s="351">
        <f t="shared" si="36"/>
        <v>320</v>
      </c>
      <c r="H128" s="325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</row>
    <row r="129" spans="1:26" ht="15.75" customHeight="1" x14ac:dyDescent="0.25">
      <c r="A129" s="122" t="s">
        <v>181</v>
      </c>
      <c r="B129" s="346"/>
      <c r="C129" s="346"/>
      <c r="D129" s="346"/>
      <c r="E129" s="346"/>
      <c r="F129" s="345"/>
      <c r="G129" s="346"/>
      <c r="H129" s="325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</row>
    <row r="130" spans="1:26" ht="15.75" customHeight="1" x14ac:dyDescent="0.25">
      <c r="A130" s="46" t="s">
        <v>182</v>
      </c>
      <c r="B130" s="323"/>
      <c r="C130" s="323"/>
      <c r="D130" s="323"/>
      <c r="E130" s="323"/>
      <c r="F130" s="324"/>
      <c r="G130" s="323"/>
      <c r="H130" s="32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6" t="s">
        <v>183</v>
      </c>
      <c r="B131" s="323"/>
      <c r="C131" s="323"/>
      <c r="D131" s="323"/>
      <c r="E131" s="323"/>
      <c r="F131" s="324"/>
      <c r="G131" s="323"/>
      <c r="H131" s="32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22" t="s">
        <v>184</v>
      </c>
      <c r="B132" s="351">
        <f t="shared" ref="B132:G132" si="37">(B130)+(B131)</f>
        <v>0</v>
      </c>
      <c r="C132" s="351">
        <f t="shared" si="37"/>
        <v>0</v>
      </c>
      <c r="D132" s="351">
        <f t="shared" si="37"/>
        <v>0</v>
      </c>
      <c r="E132" s="351">
        <f t="shared" si="37"/>
        <v>0</v>
      </c>
      <c r="F132" s="351">
        <f t="shared" si="37"/>
        <v>0</v>
      </c>
      <c r="G132" s="351">
        <f t="shared" si="37"/>
        <v>0</v>
      </c>
      <c r="H132" s="325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</row>
    <row r="133" spans="1:26" ht="15.75" customHeight="1" x14ac:dyDescent="0.25">
      <c r="A133" s="122" t="s">
        <v>185</v>
      </c>
      <c r="B133" s="344">
        <f>3315.6</f>
        <v>3315.6</v>
      </c>
      <c r="C133" s="344">
        <f>3198.94</f>
        <v>3198.94</v>
      </c>
      <c r="D133" s="344">
        <f>3285.72</f>
        <v>3285.72</v>
      </c>
      <c r="E133" s="344">
        <f>3510.21</f>
        <v>3510.21</v>
      </c>
      <c r="F133" s="344">
        <f>3975.93</f>
        <v>3975.93</v>
      </c>
      <c r="G133" s="344">
        <f>3098.7</f>
        <v>3098.7</v>
      </c>
      <c r="H133" s="325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</row>
    <row r="134" spans="1:26" ht="15.75" customHeight="1" x14ac:dyDescent="0.25">
      <c r="A134" s="122" t="s">
        <v>186</v>
      </c>
      <c r="B134" s="344">
        <f>72</f>
        <v>72</v>
      </c>
      <c r="C134" s="344">
        <f>120</f>
        <v>120</v>
      </c>
      <c r="D134" s="344">
        <f>72</f>
        <v>72</v>
      </c>
      <c r="E134" s="344">
        <f>48</f>
        <v>48</v>
      </c>
      <c r="F134" s="344">
        <f>36</f>
        <v>36</v>
      </c>
      <c r="G134" s="344">
        <f>12</f>
        <v>12</v>
      </c>
      <c r="H134" s="325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</row>
    <row r="135" spans="1:26" ht="15.75" customHeight="1" x14ac:dyDescent="0.25">
      <c r="A135" s="122" t="s">
        <v>189</v>
      </c>
      <c r="B135" s="346"/>
      <c r="C135" s="346"/>
      <c r="D135" s="346"/>
      <c r="E135" s="344">
        <f>823.44</f>
        <v>823.44</v>
      </c>
      <c r="F135" s="344">
        <f>602.98</f>
        <v>602.98</v>
      </c>
      <c r="G135" s="344">
        <f>52.98</f>
        <v>52.98</v>
      </c>
      <c r="H135" s="325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</row>
    <row r="136" spans="1:26" ht="15.75" customHeight="1" x14ac:dyDescent="0.25">
      <c r="A136" s="122" t="s">
        <v>192</v>
      </c>
      <c r="B136" s="346"/>
      <c r="C136" s="346"/>
      <c r="D136" s="346"/>
      <c r="E136" s="346"/>
      <c r="F136" s="344">
        <f t="shared" ref="F136:G136" si="38">18.26</f>
        <v>18.260000000000002</v>
      </c>
      <c r="G136" s="344">
        <f t="shared" si="38"/>
        <v>18.260000000000002</v>
      </c>
      <c r="H136" s="325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</row>
    <row r="137" spans="1:26" ht="15.75" customHeight="1" x14ac:dyDescent="0.25">
      <c r="A137" s="46" t="s">
        <v>585</v>
      </c>
      <c r="B137" s="323"/>
      <c r="C137" s="323"/>
      <c r="D137" s="328">
        <f>-45365</f>
        <v>-45365</v>
      </c>
      <c r="E137" s="328">
        <f>27805</f>
        <v>27805</v>
      </c>
      <c r="F137" s="328">
        <f>18423.58</f>
        <v>18423.580000000002</v>
      </c>
      <c r="G137" s="328">
        <f>1912.07</f>
        <v>1912.07</v>
      </c>
      <c r="H137" s="32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83" t="s">
        <v>586</v>
      </c>
      <c r="B138" s="337"/>
      <c r="C138" s="337"/>
      <c r="D138" s="337"/>
      <c r="E138" s="338">
        <f>7350</f>
        <v>7350</v>
      </c>
      <c r="F138" s="338">
        <f>4593.75</f>
        <v>4593.75</v>
      </c>
      <c r="G138" s="337"/>
      <c r="H138" s="336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</row>
    <row r="139" spans="1:26" ht="15.75" customHeight="1" x14ac:dyDescent="0.25">
      <c r="A139" s="83" t="s">
        <v>587</v>
      </c>
      <c r="B139" s="337"/>
      <c r="C139" s="337"/>
      <c r="D139" s="337"/>
      <c r="E139" s="338">
        <f>803.04</f>
        <v>803.04</v>
      </c>
      <c r="F139" s="338">
        <f>501.9</f>
        <v>501.9</v>
      </c>
      <c r="G139" s="337"/>
      <c r="H139" s="336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</row>
    <row r="140" spans="1:26" ht="15.75" customHeight="1" x14ac:dyDescent="0.25">
      <c r="A140" s="83" t="s">
        <v>588</v>
      </c>
      <c r="B140" s="337"/>
      <c r="C140" s="337"/>
      <c r="D140" s="337"/>
      <c r="E140" s="338">
        <f>3150</f>
        <v>3150</v>
      </c>
      <c r="F140" s="337">
        <f>1968.75</f>
        <v>1968.75</v>
      </c>
      <c r="G140" s="337"/>
      <c r="H140" s="336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</row>
    <row r="141" spans="1:26" ht="15.75" customHeight="1" x14ac:dyDescent="0.25">
      <c r="A141" s="46" t="s">
        <v>589</v>
      </c>
      <c r="B141" s="353">
        <f t="shared" ref="B141:G141" si="39">SUM(B138:B140)</f>
        <v>0</v>
      </c>
      <c r="C141" s="353">
        <f t="shared" si="39"/>
        <v>0</v>
      </c>
      <c r="D141" s="353">
        <f t="shared" si="39"/>
        <v>0</v>
      </c>
      <c r="E141" s="353">
        <f t="shared" si="39"/>
        <v>11303.04</v>
      </c>
      <c r="F141" s="353">
        <f t="shared" si="39"/>
        <v>7064.4</v>
      </c>
      <c r="G141" s="353">
        <f t="shared" si="39"/>
        <v>0</v>
      </c>
      <c r="H141" s="32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22" t="s">
        <v>590</v>
      </c>
      <c r="B142" s="351">
        <f t="shared" ref="B142:G142" si="40">(B137)+(B141)</f>
        <v>0</v>
      </c>
      <c r="C142" s="351">
        <f t="shared" si="40"/>
        <v>0</v>
      </c>
      <c r="D142" s="351">
        <f t="shared" si="40"/>
        <v>-45365</v>
      </c>
      <c r="E142" s="351">
        <f t="shared" si="40"/>
        <v>39108.04</v>
      </c>
      <c r="F142" s="351">
        <f t="shared" si="40"/>
        <v>25487.980000000003</v>
      </c>
      <c r="G142" s="351">
        <f t="shared" si="40"/>
        <v>1912.07</v>
      </c>
      <c r="H142" s="325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</row>
    <row r="143" spans="1:26" ht="15.75" customHeight="1" x14ac:dyDescent="0.25">
      <c r="A143" s="217" t="s">
        <v>193</v>
      </c>
      <c r="B143" s="354">
        <f t="shared" ref="B143:G143" si="41">(((((((((((((B77)+(B90))+(B98))+(B114))+(B125))+(B128))+(B129))+(B132))+(B133))+(B134))+(B135))+(B136))+(B142))</f>
        <v>150350.64000000001</v>
      </c>
      <c r="C143" s="354">
        <f t="shared" si="41"/>
        <v>151616.19</v>
      </c>
      <c r="D143" s="354">
        <f t="shared" si="41"/>
        <v>113582.07</v>
      </c>
      <c r="E143" s="354">
        <f t="shared" si="41"/>
        <v>201309.02000000002</v>
      </c>
      <c r="F143" s="354">
        <f t="shared" si="41"/>
        <v>194609.50000000006</v>
      </c>
      <c r="G143" s="354">
        <f t="shared" si="41"/>
        <v>130651.90000000001</v>
      </c>
      <c r="H143" s="325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</row>
    <row r="144" spans="1:26" ht="15.75" customHeight="1" x14ac:dyDescent="0.25">
      <c r="A144" s="20"/>
      <c r="B144" s="328"/>
      <c r="C144" s="328"/>
      <c r="D144" s="328"/>
      <c r="E144" s="328"/>
      <c r="F144" s="328"/>
      <c r="G144" s="328"/>
      <c r="H144" s="32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6" t="s">
        <v>591</v>
      </c>
      <c r="B145" s="328">
        <f>29277.28</f>
        <v>29277.279999999999</v>
      </c>
      <c r="C145" s="328">
        <f>26537.63</f>
        <v>26537.63</v>
      </c>
      <c r="D145" s="328">
        <f>-28867.87</f>
        <v>-28867.87</v>
      </c>
      <c r="E145" s="328">
        <f>57049.55</f>
        <v>57049.55</v>
      </c>
      <c r="F145" s="328">
        <f>1225.37</f>
        <v>1225.3699999999999</v>
      </c>
      <c r="G145" s="328">
        <f>-40000.26</f>
        <v>-40000.26</v>
      </c>
      <c r="H145" s="32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6" t="s">
        <v>592</v>
      </c>
      <c r="B146" s="323"/>
      <c r="C146" s="328">
        <f>3803</f>
        <v>3803</v>
      </c>
      <c r="D146" s="328">
        <f>8260.82</f>
        <v>8260.82</v>
      </c>
      <c r="E146" s="323"/>
      <c r="F146" s="324"/>
      <c r="G146" s="323"/>
      <c r="H146" s="32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20" t="s">
        <v>593</v>
      </c>
      <c r="B147" s="342">
        <f t="shared" ref="B147:G147" si="42">(B145)+(B146)</f>
        <v>29277.279999999999</v>
      </c>
      <c r="C147" s="342">
        <f t="shared" si="42"/>
        <v>30340.63</v>
      </c>
      <c r="D147" s="342">
        <f t="shared" si="42"/>
        <v>-20607.05</v>
      </c>
      <c r="E147" s="342">
        <f t="shared" si="42"/>
        <v>57049.55</v>
      </c>
      <c r="F147" s="342">
        <f t="shared" si="42"/>
        <v>1225.3699999999999</v>
      </c>
      <c r="G147" s="342">
        <f t="shared" si="42"/>
        <v>-40000.26</v>
      </c>
      <c r="H147" s="32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20"/>
      <c r="B148" s="328"/>
      <c r="C148" s="323"/>
      <c r="D148" s="323"/>
      <c r="E148" s="328"/>
      <c r="F148" s="328"/>
      <c r="G148" s="323"/>
      <c r="H148" s="32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22" t="s">
        <v>194</v>
      </c>
      <c r="B149" s="344">
        <f>-97</f>
        <v>-97</v>
      </c>
      <c r="C149" s="346"/>
      <c r="D149" s="346"/>
      <c r="E149" s="344">
        <f t="shared" ref="E149:F149" si="43">2115.82</f>
        <v>2115.8200000000002</v>
      </c>
      <c r="F149" s="344">
        <f t="shared" si="43"/>
        <v>2115.8200000000002</v>
      </c>
      <c r="G149" s="346"/>
      <c r="H149" s="325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</row>
    <row r="150" spans="1:26" ht="15.75" customHeight="1" x14ac:dyDescent="0.25">
      <c r="A150" s="122" t="s">
        <v>195</v>
      </c>
      <c r="B150" s="344">
        <f>195.5</f>
        <v>195.5</v>
      </c>
      <c r="C150" s="344">
        <f>144.5</f>
        <v>144.5</v>
      </c>
      <c r="D150" s="344">
        <f>102</f>
        <v>102</v>
      </c>
      <c r="E150" s="344">
        <f>85</f>
        <v>85</v>
      </c>
      <c r="F150" s="344">
        <f>59.5</f>
        <v>59.5</v>
      </c>
      <c r="G150" s="344">
        <f>42.5</f>
        <v>42.5</v>
      </c>
      <c r="H150" s="325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</row>
    <row r="151" spans="1:26" ht="15.75" customHeight="1" x14ac:dyDescent="0.25">
      <c r="A151" s="122" t="s">
        <v>594</v>
      </c>
      <c r="B151" s="344">
        <f>44875.55</f>
        <v>44875.55</v>
      </c>
      <c r="C151" s="344">
        <f>33931.02</f>
        <v>33931.019999999997</v>
      </c>
      <c r="D151" s="344">
        <f>36228.72</f>
        <v>36228.720000000001</v>
      </c>
      <c r="E151" s="344">
        <f>30840.9</f>
        <v>30840.9</v>
      </c>
      <c r="F151" s="344">
        <f>22849.79</f>
        <v>22849.79</v>
      </c>
      <c r="G151" s="344">
        <f>15231.14</f>
        <v>15231.14</v>
      </c>
      <c r="H151" s="325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</row>
    <row r="152" spans="1:26" ht="15.75" customHeight="1" x14ac:dyDescent="0.25">
      <c r="A152" s="122" t="s">
        <v>198</v>
      </c>
      <c r="B152" s="344">
        <f>13.71</f>
        <v>13.71</v>
      </c>
      <c r="C152" s="344">
        <f>237.13</f>
        <v>237.13</v>
      </c>
      <c r="D152" s="344">
        <f>108.98</f>
        <v>108.98</v>
      </c>
      <c r="E152" s="344">
        <f>314.96</f>
        <v>314.95999999999998</v>
      </c>
      <c r="F152" s="344">
        <f>189.32</f>
        <v>189.32</v>
      </c>
      <c r="G152" s="344">
        <f>118.93</f>
        <v>118.93</v>
      </c>
      <c r="H152" s="325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</row>
    <row r="153" spans="1:26" ht="15.75" customHeight="1" x14ac:dyDescent="0.25">
      <c r="A153" s="122" t="s">
        <v>200</v>
      </c>
      <c r="B153" s="344">
        <f>245.3</f>
        <v>245.3</v>
      </c>
      <c r="C153" s="344">
        <f>242.22</f>
        <v>242.22</v>
      </c>
      <c r="D153" s="344">
        <f>226.67</f>
        <v>226.67</v>
      </c>
      <c r="E153" s="344">
        <f>345.72</f>
        <v>345.72</v>
      </c>
      <c r="F153" s="344">
        <f>207.62</f>
        <v>207.62</v>
      </c>
      <c r="G153" s="344">
        <f>117.3</f>
        <v>117.3</v>
      </c>
      <c r="H153" s="325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</row>
    <row r="154" spans="1:26" ht="15.75" customHeight="1" x14ac:dyDescent="0.25">
      <c r="A154" s="133" t="s">
        <v>595</v>
      </c>
      <c r="B154" s="349">
        <f>30.74</f>
        <v>30.74</v>
      </c>
      <c r="C154" s="347"/>
      <c r="D154" s="347"/>
      <c r="E154" s="347"/>
      <c r="F154" s="348"/>
      <c r="G154" s="347"/>
      <c r="H154" s="325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</row>
    <row r="155" spans="1:26" ht="15.75" customHeight="1" x14ac:dyDescent="0.25">
      <c r="A155" s="83" t="s">
        <v>203</v>
      </c>
      <c r="B155" s="337"/>
      <c r="C155" s="337"/>
      <c r="D155" s="337"/>
      <c r="E155" s="337"/>
      <c r="F155" s="339"/>
      <c r="G155" s="337"/>
      <c r="H155" s="336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</row>
    <row r="156" spans="1:26" ht="15.75" customHeight="1" x14ac:dyDescent="0.25">
      <c r="A156" s="227" t="s">
        <v>206</v>
      </c>
      <c r="B156" s="339"/>
      <c r="C156" s="339"/>
      <c r="D156" s="339"/>
      <c r="E156" s="339"/>
      <c r="F156" s="339"/>
      <c r="G156" s="339"/>
      <c r="H156" s="336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</row>
    <row r="157" spans="1:26" ht="15.75" customHeight="1" x14ac:dyDescent="0.25">
      <c r="A157" s="83" t="s">
        <v>207</v>
      </c>
      <c r="B157" s="337"/>
      <c r="C157" s="337"/>
      <c r="D157" s="337"/>
      <c r="E157" s="337"/>
      <c r="F157" s="338">
        <f t="shared" ref="F157:G157" si="44">937</f>
        <v>937</v>
      </c>
      <c r="G157" s="338">
        <f t="shared" si="44"/>
        <v>937</v>
      </c>
      <c r="H157" s="336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 spans="1:26" ht="15.75" customHeight="1" x14ac:dyDescent="0.25">
      <c r="A158" s="133" t="s">
        <v>208</v>
      </c>
      <c r="B158" s="350">
        <f t="shared" ref="B158:G158" si="45">(B155)+(B157)</f>
        <v>0</v>
      </c>
      <c r="C158" s="350">
        <f t="shared" si="45"/>
        <v>0</v>
      </c>
      <c r="D158" s="350">
        <f t="shared" si="45"/>
        <v>0</v>
      </c>
      <c r="E158" s="350">
        <f t="shared" si="45"/>
        <v>0</v>
      </c>
      <c r="F158" s="350">
        <f t="shared" si="45"/>
        <v>937</v>
      </c>
      <c r="G158" s="350">
        <f t="shared" si="45"/>
        <v>937</v>
      </c>
      <c r="H158" s="325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</row>
    <row r="159" spans="1:26" ht="15.75" customHeight="1" x14ac:dyDescent="0.25">
      <c r="A159" s="122" t="s">
        <v>212</v>
      </c>
      <c r="B159" s="351">
        <f t="shared" ref="B159:G159" si="46">(B154)+(B158)</f>
        <v>30.74</v>
      </c>
      <c r="C159" s="351">
        <f t="shared" si="46"/>
        <v>0</v>
      </c>
      <c r="D159" s="351">
        <f t="shared" si="46"/>
        <v>0</v>
      </c>
      <c r="E159" s="351">
        <f t="shared" si="46"/>
        <v>0</v>
      </c>
      <c r="F159" s="351">
        <f t="shared" si="46"/>
        <v>937</v>
      </c>
      <c r="G159" s="351">
        <f t="shared" si="46"/>
        <v>937</v>
      </c>
      <c r="H159" s="325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</row>
    <row r="160" spans="1:26" ht="15.75" customHeight="1" x14ac:dyDescent="0.25">
      <c r="A160" s="122" t="s">
        <v>213</v>
      </c>
      <c r="B160" s="344">
        <f>322.96</f>
        <v>322.95999999999998</v>
      </c>
      <c r="C160" s="344">
        <f>240.24</f>
        <v>240.24</v>
      </c>
      <c r="D160" s="344">
        <f>923.06</f>
        <v>923.06</v>
      </c>
      <c r="E160" s="344">
        <f>3171.63</f>
        <v>3171.63</v>
      </c>
      <c r="F160" s="344">
        <f>2607.58</f>
        <v>2607.58</v>
      </c>
      <c r="G160" s="344">
        <f>1761.22</f>
        <v>1761.22</v>
      </c>
      <c r="H160" s="325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</row>
    <row r="161" spans="1:26" ht="15.75" customHeight="1" x14ac:dyDescent="0.25">
      <c r="A161" s="46" t="s">
        <v>215</v>
      </c>
      <c r="B161" s="323"/>
      <c r="C161" s="323"/>
      <c r="D161" s="323"/>
      <c r="E161" s="323"/>
      <c r="F161" s="324"/>
      <c r="G161" s="323"/>
      <c r="H161" s="32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6" t="s">
        <v>596</v>
      </c>
      <c r="B162" s="323"/>
      <c r="C162" s="323"/>
      <c r="D162" s="323"/>
      <c r="E162" s="323"/>
      <c r="F162" s="324"/>
      <c r="G162" s="323"/>
      <c r="H162" s="32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6" t="s">
        <v>216</v>
      </c>
      <c r="B163" s="328">
        <f>148.17</f>
        <v>148.16999999999999</v>
      </c>
      <c r="C163" s="328">
        <f>69.14</f>
        <v>69.14</v>
      </c>
      <c r="D163" s="328">
        <f>109.73</f>
        <v>109.73</v>
      </c>
      <c r="E163" s="328">
        <f>208.55</f>
        <v>208.55</v>
      </c>
      <c r="F163" s="328">
        <f>293.88</f>
        <v>293.88</v>
      </c>
      <c r="G163" s="328">
        <f>174.83</f>
        <v>174.83</v>
      </c>
      <c r="H163" s="32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6" t="s">
        <v>217</v>
      </c>
      <c r="B164" s="323"/>
      <c r="C164" s="323"/>
      <c r="D164" s="323"/>
      <c r="E164" s="323"/>
      <c r="F164" s="324"/>
      <c r="G164" s="323"/>
      <c r="H164" s="32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22" t="s">
        <v>218</v>
      </c>
      <c r="B165" s="351">
        <f t="shared" ref="B165:G165" si="47">SUM(B161:B164)</f>
        <v>148.16999999999999</v>
      </c>
      <c r="C165" s="351">
        <f t="shared" si="47"/>
        <v>69.14</v>
      </c>
      <c r="D165" s="351">
        <f t="shared" si="47"/>
        <v>109.73</v>
      </c>
      <c r="E165" s="351">
        <f t="shared" si="47"/>
        <v>208.55</v>
      </c>
      <c r="F165" s="351">
        <f t="shared" si="47"/>
        <v>293.88</v>
      </c>
      <c r="G165" s="351">
        <f t="shared" si="47"/>
        <v>174.83</v>
      </c>
      <c r="H165" s="325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</row>
    <row r="166" spans="1:26" ht="15.75" customHeight="1" x14ac:dyDescent="0.25">
      <c r="A166" s="46" t="s">
        <v>219</v>
      </c>
      <c r="B166" s="328">
        <f>296.65</f>
        <v>296.64999999999998</v>
      </c>
      <c r="C166" s="323"/>
      <c r="D166" s="323"/>
      <c r="E166" s="323"/>
      <c r="F166" s="324"/>
      <c r="G166" s="323"/>
      <c r="H166" s="32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6" t="s">
        <v>220</v>
      </c>
      <c r="B167" s="328">
        <f>275.2</f>
        <v>275.2</v>
      </c>
      <c r="C167" s="328">
        <f>206.77</f>
        <v>206.77</v>
      </c>
      <c r="D167" s="328">
        <f>175.83</f>
        <v>175.83</v>
      </c>
      <c r="E167" s="328">
        <f>177.38</f>
        <v>177.38</v>
      </c>
      <c r="F167" s="328">
        <f>129.54</f>
        <v>129.54</v>
      </c>
      <c r="G167" s="328">
        <f>36.99</f>
        <v>36.99</v>
      </c>
      <c r="H167" s="32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6" t="s">
        <v>520</v>
      </c>
      <c r="B168" s="328">
        <f>3747.64</f>
        <v>3747.64</v>
      </c>
      <c r="C168" s="328">
        <f>3131.17</f>
        <v>3131.17</v>
      </c>
      <c r="D168" s="328">
        <f>550.36</f>
        <v>550.36</v>
      </c>
      <c r="E168" s="328">
        <f>151.12</f>
        <v>151.12</v>
      </c>
      <c r="F168" s="328">
        <f>71.24</f>
        <v>71.239999999999995</v>
      </c>
      <c r="G168" s="328">
        <f>46.65</f>
        <v>46.65</v>
      </c>
      <c r="H168" s="32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22" t="s">
        <v>222</v>
      </c>
      <c r="B169" s="351">
        <f t="shared" ref="B169:G169" si="48">SUM(B166:B168)</f>
        <v>4319.49</v>
      </c>
      <c r="C169" s="351">
        <f t="shared" si="48"/>
        <v>3337.94</v>
      </c>
      <c r="D169" s="351">
        <f t="shared" si="48"/>
        <v>726.19</v>
      </c>
      <c r="E169" s="351">
        <f t="shared" si="48"/>
        <v>328.5</v>
      </c>
      <c r="F169" s="351">
        <f t="shared" si="48"/>
        <v>200.77999999999997</v>
      </c>
      <c r="G169" s="351">
        <f t="shared" si="48"/>
        <v>83.64</v>
      </c>
      <c r="H169" s="325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</row>
    <row r="170" spans="1:26" ht="15.75" customHeight="1" x14ac:dyDescent="0.25">
      <c r="A170" s="46" t="s">
        <v>223</v>
      </c>
      <c r="B170" s="323"/>
      <c r="C170" s="328">
        <f>429.24</f>
        <v>429.24</v>
      </c>
      <c r="D170" s="323"/>
      <c r="E170" s="323"/>
      <c r="F170" s="324"/>
      <c r="G170" s="323"/>
      <c r="H170" s="32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6" t="s">
        <v>224</v>
      </c>
      <c r="B171" s="323"/>
      <c r="C171" s="323"/>
      <c r="D171" s="328">
        <f>2216.17</f>
        <v>2216.17</v>
      </c>
      <c r="E171" s="328">
        <f>2438.92</f>
        <v>2438.92</v>
      </c>
      <c r="F171" s="328">
        <f>2614.92</f>
        <v>2614.92</v>
      </c>
      <c r="G171" s="328">
        <f>2010.69</f>
        <v>2010.69</v>
      </c>
      <c r="H171" s="32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6" t="s">
        <v>226</v>
      </c>
      <c r="B172" s="323"/>
      <c r="C172" s="323"/>
      <c r="D172" s="323"/>
      <c r="E172" s="323"/>
      <c r="F172" s="324"/>
      <c r="G172" s="323"/>
      <c r="H172" s="32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22" t="s">
        <v>228</v>
      </c>
      <c r="B173" s="351">
        <f t="shared" ref="B173:G173" si="49">SUM(B170:B172)</f>
        <v>0</v>
      </c>
      <c r="C173" s="351">
        <f t="shared" si="49"/>
        <v>429.24</v>
      </c>
      <c r="D173" s="351">
        <f t="shared" si="49"/>
        <v>2216.17</v>
      </c>
      <c r="E173" s="351">
        <f t="shared" si="49"/>
        <v>2438.92</v>
      </c>
      <c r="F173" s="351">
        <f t="shared" si="49"/>
        <v>2614.92</v>
      </c>
      <c r="G173" s="351">
        <f t="shared" si="49"/>
        <v>2010.69</v>
      </c>
      <c r="H173" s="325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</row>
    <row r="174" spans="1:26" ht="15.75" customHeight="1" x14ac:dyDescent="0.25">
      <c r="A174" s="122" t="s">
        <v>229</v>
      </c>
      <c r="B174" s="344">
        <f>660</f>
        <v>660</v>
      </c>
      <c r="C174" s="344">
        <f>495</f>
        <v>495</v>
      </c>
      <c r="D174" s="344">
        <f t="shared" ref="D174:G174" si="50">605</f>
        <v>605</v>
      </c>
      <c r="E174" s="344">
        <f t="shared" si="50"/>
        <v>605</v>
      </c>
      <c r="F174" s="344">
        <f t="shared" si="50"/>
        <v>605</v>
      </c>
      <c r="G174" s="344">
        <f t="shared" si="50"/>
        <v>605</v>
      </c>
      <c r="H174" s="325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</row>
    <row r="175" spans="1:26" ht="15.75" customHeight="1" x14ac:dyDescent="0.25">
      <c r="A175" s="46" t="s">
        <v>231</v>
      </c>
      <c r="B175" s="328">
        <f>1214.36</f>
        <v>1214.3599999999999</v>
      </c>
      <c r="C175" s="328">
        <f>1302.05</f>
        <v>1302.05</v>
      </c>
      <c r="D175" s="328">
        <f>1486.88</f>
        <v>1486.88</v>
      </c>
      <c r="E175" s="328">
        <f>1952.88</f>
        <v>1952.88</v>
      </c>
      <c r="F175" s="328">
        <f>780.96</f>
        <v>780.96</v>
      </c>
      <c r="G175" s="323"/>
      <c r="H175" s="32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6" t="s">
        <v>232</v>
      </c>
      <c r="B176" s="323"/>
      <c r="C176" s="323"/>
      <c r="D176" s="323"/>
      <c r="E176" s="323"/>
      <c r="F176" s="328">
        <f t="shared" ref="F176:G176" si="51">472</f>
        <v>472</v>
      </c>
      <c r="G176" s="328">
        <f t="shared" si="51"/>
        <v>472</v>
      </c>
      <c r="H176" s="32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6" t="s">
        <v>234</v>
      </c>
      <c r="B177" s="323"/>
      <c r="C177" s="323"/>
      <c r="D177" s="323"/>
      <c r="E177" s="323"/>
      <c r="F177" s="328">
        <f t="shared" ref="F177:G177" si="52">560</f>
        <v>560</v>
      </c>
      <c r="G177" s="328">
        <f t="shared" si="52"/>
        <v>560</v>
      </c>
      <c r="H177" s="32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6" t="s">
        <v>236</v>
      </c>
      <c r="B178" s="323"/>
      <c r="C178" s="323"/>
      <c r="D178" s="323"/>
      <c r="E178" s="323"/>
      <c r="F178" s="328">
        <f t="shared" ref="F178:G178" si="53">529</f>
        <v>529</v>
      </c>
      <c r="G178" s="328">
        <f t="shared" si="53"/>
        <v>529</v>
      </c>
      <c r="H178" s="32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6" t="s">
        <v>238</v>
      </c>
      <c r="B179" s="323"/>
      <c r="C179" s="323"/>
      <c r="D179" s="323"/>
      <c r="E179" s="323"/>
      <c r="F179" s="328">
        <f t="shared" ref="F179:G179" si="54">225.35</f>
        <v>225.35</v>
      </c>
      <c r="G179" s="328">
        <f t="shared" si="54"/>
        <v>225.35</v>
      </c>
      <c r="H179" s="32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6" t="s">
        <v>597</v>
      </c>
      <c r="B180" s="328">
        <f t="shared" ref="B180:D180" si="55">60</f>
        <v>60</v>
      </c>
      <c r="C180" s="328">
        <f t="shared" si="55"/>
        <v>60</v>
      </c>
      <c r="D180" s="328">
        <f t="shared" si="55"/>
        <v>60</v>
      </c>
      <c r="E180" s="328">
        <f t="shared" ref="E180:F180" si="56">65</f>
        <v>65</v>
      </c>
      <c r="F180" s="328">
        <f t="shared" si="56"/>
        <v>65</v>
      </c>
      <c r="G180" s="328">
        <f>40</f>
        <v>40</v>
      </c>
      <c r="H180" s="32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6" t="s">
        <v>598</v>
      </c>
      <c r="B181" s="323"/>
      <c r="C181" s="323"/>
      <c r="D181" s="323"/>
      <c r="E181" s="323"/>
      <c r="F181" s="328">
        <f>44.66</f>
        <v>44.66</v>
      </c>
      <c r="G181" s="328">
        <f>67.32</f>
        <v>67.319999999999993</v>
      </c>
      <c r="H181" s="32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6" t="s">
        <v>599</v>
      </c>
      <c r="B182" s="323"/>
      <c r="C182" s="323"/>
      <c r="D182" s="328">
        <f>186</f>
        <v>186</v>
      </c>
      <c r="E182" s="328">
        <f t="shared" ref="E182:F182" si="57">260</f>
        <v>260</v>
      </c>
      <c r="F182" s="328">
        <f t="shared" si="57"/>
        <v>260</v>
      </c>
      <c r="G182" s="328">
        <f>160</f>
        <v>160</v>
      </c>
      <c r="H182" s="32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22" t="s">
        <v>248</v>
      </c>
      <c r="B183" s="351">
        <f t="shared" ref="B183:G183" si="58">SUM(B175:B182)</f>
        <v>1274.3599999999999</v>
      </c>
      <c r="C183" s="351">
        <f t="shared" si="58"/>
        <v>1362.05</v>
      </c>
      <c r="D183" s="351">
        <f t="shared" si="58"/>
        <v>1732.88</v>
      </c>
      <c r="E183" s="351">
        <f t="shared" si="58"/>
        <v>2277.88</v>
      </c>
      <c r="F183" s="351">
        <f t="shared" si="58"/>
        <v>2936.97</v>
      </c>
      <c r="G183" s="351">
        <f t="shared" si="58"/>
        <v>2053.67</v>
      </c>
      <c r="H183" s="325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</row>
    <row r="184" spans="1:26" ht="15.75" customHeight="1" x14ac:dyDescent="0.25">
      <c r="A184" s="122" t="s">
        <v>249</v>
      </c>
      <c r="B184" s="344">
        <f>421.94</f>
        <v>421.94</v>
      </c>
      <c r="C184" s="344">
        <f>677.37</f>
        <v>677.37</v>
      </c>
      <c r="D184" s="344">
        <f>338.15</f>
        <v>338.15</v>
      </c>
      <c r="E184" s="346"/>
      <c r="F184" s="345"/>
      <c r="G184" s="346"/>
      <c r="H184" s="325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</row>
    <row r="185" spans="1:26" ht="15.75" customHeight="1" x14ac:dyDescent="0.25">
      <c r="A185" s="122" t="s">
        <v>250</v>
      </c>
      <c r="B185" s="344">
        <f>30.6</f>
        <v>30.6</v>
      </c>
      <c r="C185" s="344">
        <f>22.3</f>
        <v>22.3</v>
      </c>
      <c r="D185" s="344">
        <f>41.3</f>
        <v>41.3</v>
      </c>
      <c r="E185" s="344">
        <f>734.04</f>
        <v>734.04</v>
      </c>
      <c r="F185" s="344">
        <f>-284.21</f>
        <v>-284.20999999999998</v>
      </c>
      <c r="G185" s="344">
        <f>-649.89</f>
        <v>-649.89</v>
      </c>
      <c r="H185" s="325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</row>
    <row r="186" spans="1:26" ht="15.75" customHeight="1" x14ac:dyDescent="0.25">
      <c r="A186" s="122" t="s">
        <v>252</v>
      </c>
      <c r="B186" s="346"/>
      <c r="C186" s="346"/>
      <c r="D186" s="346"/>
      <c r="E186" s="346"/>
      <c r="F186" s="345"/>
      <c r="G186" s="346"/>
      <c r="H186" s="325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</row>
    <row r="187" spans="1:26" ht="15.75" customHeight="1" x14ac:dyDescent="0.25">
      <c r="A187" s="122" t="s">
        <v>253</v>
      </c>
      <c r="B187" s="346"/>
      <c r="C187" s="346"/>
      <c r="D187" s="346"/>
      <c r="E187" s="346"/>
      <c r="F187" s="345"/>
      <c r="G187" s="346"/>
      <c r="H187" s="325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</row>
    <row r="188" spans="1:26" ht="15.75" customHeight="1" x14ac:dyDescent="0.25">
      <c r="A188" s="122" t="s">
        <v>254</v>
      </c>
      <c r="B188" s="344">
        <f>1282.24</f>
        <v>1282.24</v>
      </c>
      <c r="C188" s="344">
        <f>1775.76</f>
        <v>1775.76</v>
      </c>
      <c r="D188" s="344">
        <f>704.64</f>
        <v>704.64</v>
      </c>
      <c r="E188" s="344">
        <f>894.2</f>
        <v>894.2</v>
      </c>
      <c r="F188" s="345"/>
      <c r="G188" s="346"/>
      <c r="H188" s="325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</row>
    <row r="189" spans="1:26" ht="15.75" customHeight="1" x14ac:dyDescent="0.25">
      <c r="A189" s="122" t="s">
        <v>256</v>
      </c>
      <c r="B189" s="344">
        <f>575</f>
        <v>575</v>
      </c>
      <c r="C189" s="344">
        <f>465</f>
        <v>465</v>
      </c>
      <c r="D189" s="344">
        <f>482.5</f>
        <v>482.5</v>
      </c>
      <c r="E189" s="344">
        <f>440.98</f>
        <v>440.98</v>
      </c>
      <c r="F189" s="344">
        <f>327.98</f>
        <v>327.98</v>
      </c>
      <c r="G189" s="344">
        <f>207</f>
        <v>207</v>
      </c>
      <c r="H189" s="325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</row>
    <row r="190" spans="1:26" ht="15.75" customHeight="1" x14ac:dyDescent="0.25">
      <c r="A190" s="217" t="s">
        <v>258</v>
      </c>
      <c r="B190" s="354">
        <f t="shared" ref="B190:G190" si="59">(((((((((((((((((B149)+(B150))+(B151))+(B152))+(B153))+(B159))+(B160))+(B165))+(B169))+(B173))+(B174))+(B183))+(B184))+(B185))+(B186))+(B187))+(B188))+(B189)</f>
        <v>54298.559999999998</v>
      </c>
      <c r="C190" s="354">
        <f t="shared" si="59"/>
        <v>43428.91</v>
      </c>
      <c r="D190" s="354">
        <f t="shared" si="59"/>
        <v>44545.990000000005</v>
      </c>
      <c r="E190" s="354">
        <f t="shared" si="59"/>
        <v>44802.1</v>
      </c>
      <c r="F190" s="354">
        <f t="shared" si="59"/>
        <v>35661.950000000004</v>
      </c>
      <c r="G190" s="354">
        <f t="shared" si="59"/>
        <v>22693.03</v>
      </c>
      <c r="H190" s="325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4"/>
      <c r="W190" s="224"/>
      <c r="X190" s="224"/>
      <c r="Y190" s="224"/>
      <c r="Z190" s="224"/>
    </row>
    <row r="191" spans="1:26" ht="15.75" customHeight="1" x14ac:dyDescent="0.25">
      <c r="A191" s="20"/>
      <c r="B191" s="323"/>
      <c r="C191" s="323"/>
      <c r="D191" s="323"/>
      <c r="E191" s="328"/>
      <c r="F191" s="328"/>
      <c r="G191" s="323"/>
      <c r="H191" s="32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22" t="s">
        <v>259</v>
      </c>
      <c r="B192" s="346"/>
      <c r="C192" s="346"/>
      <c r="D192" s="346"/>
      <c r="E192" s="344">
        <f t="shared" ref="E192:F192" si="60">33121.83</f>
        <v>33121.83</v>
      </c>
      <c r="F192" s="344">
        <f t="shared" si="60"/>
        <v>33121.83</v>
      </c>
      <c r="G192" s="346"/>
      <c r="H192" s="325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</row>
    <row r="193" spans="1:26" ht="15.75" customHeight="1" x14ac:dyDescent="0.25">
      <c r="A193" s="122" t="s">
        <v>260</v>
      </c>
      <c r="B193" s="346"/>
      <c r="C193" s="346"/>
      <c r="D193" s="344">
        <f>3675</f>
        <v>3675</v>
      </c>
      <c r="E193" s="344">
        <f>9196.1</f>
        <v>9196.1</v>
      </c>
      <c r="F193" s="344">
        <f>30.51</f>
        <v>30.51</v>
      </c>
      <c r="G193" s="346"/>
      <c r="H193" s="325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</row>
    <row r="194" spans="1:26" ht="15.75" customHeight="1" x14ac:dyDescent="0.25">
      <c r="A194" s="46" t="s">
        <v>261</v>
      </c>
      <c r="B194" s="328">
        <f t="shared" ref="B194:C194" si="61">91128</f>
        <v>91128</v>
      </c>
      <c r="C194" s="328">
        <f t="shared" si="61"/>
        <v>91128</v>
      </c>
      <c r="D194" s="328">
        <f>61475.8</f>
        <v>61475.8</v>
      </c>
      <c r="E194" s="328">
        <f t="shared" ref="E194:F194" si="62">19962.72</f>
        <v>19962.72</v>
      </c>
      <c r="F194" s="328">
        <f t="shared" si="62"/>
        <v>19962.72</v>
      </c>
      <c r="G194" s="328">
        <f>14972.04</f>
        <v>14972.04</v>
      </c>
      <c r="H194" s="32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6" t="s">
        <v>263</v>
      </c>
      <c r="B195" s="323"/>
      <c r="C195" s="323"/>
      <c r="D195" s="328">
        <f>22077.2</f>
        <v>22077.200000000001</v>
      </c>
      <c r="E195" s="323"/>
      <c r="F195" s="324"/>
      <c r="G195" s="323"/>
      <c r="H195" s="32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22" t="s">
        <v>264</v>
      </c>
      <c r="B196" s="351">
        <f t="shared" ref="B196:G196" si="63">SUM(B194:B195)</f>
        <v>91128</v>
      </c>
      <c r="C196" s="351">
        <f t="shared" si="63"/>
        <v>91128</v>
      </c>
      <c r="D196" s="351">
        <f t="shared" si="63"/>
        <v>83553</v>
      </c>
      <c r="E196" s="351">
        <f t="shared" si="63"/>
        <v>19962.72</v>
      </c>
      <c r="F196" s="351">
        <f t="shared" si="63"/>
        <v>19962.72</v>
      </c>
      <c r="G196" s="351">
        <f t="shared" si="63"/>
        <v>14972.04</v>
      </c>
      <c r="H196" s="325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</row>
    <row r="197" spans="1:26" ht="15.75" customHeight="1" x14ac:dyDescent="0.25">
      <c r="A197" s="122" t="s">
        <v>267</v>
      </c>
      <c r="B197" s="346"/>
      <c r="C197" s="346"/>
      <c r="D197" s="346"/>
      <c r="E197" s="346"/>
      <c r="F197" s="345"/>
      <c r="G197" s="346"/>
      <c r="H197" s="325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</row>
    <row r="198" spans="1:26" ht="15.75" customHeight="1" x14ac:dyDescent="0.25">
      <c r="A198" s="46" t="s">
        <v>268</v>
      </c>
      <c r="B198" s="323"/>
      <c r="C198" s="323"/>
      <c r="D198" s="323"/>
      <c r="E198" s="323"/>
      <c r="F198" s="324"/>
      <c r="G198" s="323"/>
      <c r="H198" s="32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6" t="s">
        <v>269</v>
      </c>
      <c r="B199" s="323"/>
      <c r="C199" s="323"/>
      <c r="D199" s="323"/>
      <c r="E199" s="323"/>
      <c r="F199" s="324"/>
      <c r="G199" s="323"/>
      <c r="H199" s="32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6" t="s">
        <v>270</v>
      </c>
      <c r="B200" s="323"/>
      <c r="C200" s="323"/>
      <c r="D200" s="323"/>
      <c r="E200" s="323"/>
      <c r="F200" s="324"/>
      <c r="G200" s="323"/>
      <c r="H200" s="32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6" t="s">
        <v>271</v>
      </c>
      <c r="B201" s="323"/>
      <c r="C201" s="323"/>
      <c r="D201" s="323"/>
      <c r="E201" s="323"/>
      <c r="F201" s="324"/>
      <c r="G201" s="323"/>
      <c r="H201" s="32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6" t="s">
        <v>272</v>
      </c>
      <c r="B202" s="323"/>
      <c r="C202" s="328">
        <f>950</f>
        <v>950</v>
      </c>
      <c r="D202" s="323"/>
      <c r="E202" s="323"/>
      <c r="F202" s="324"/>
      <c r="G202" s="323"/>
      <c r="H202" s="32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6" t="s">
        <v>273</v>
      </c>
      <c r="B203" s="323"/>
      <c r="C203" s="323"/>
      <c r="D203" s="323"/>
      <c r="E203" s="323"/>
      <c r="F203" s="324"/>
      <c r="G203" s="323"/>
      <c r="H203" s="32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22" t="s">
        <v>274</v>
      </c>
      <c r="B204" s="351">
        <f t="shared" ref="B204:G204" si="64">SUM(B198:B203)</f>
        <v>0</v>
      </c>
      <c r="C204" s="351">
        <f t="shared" si="64"/>
        <v>950</v>
      </c>
      <c r="D204" s="351">
        <f t="shared" si="64"/>
        <v>0</v>
      </c>
      <c r="E204" s="351">
        <f t="shared" si="64"/>
        <v>0</v>
      </c>
      <c r="F204" s="351">
        <f t="shared" si="64"/>
        <v>0</v>
      </c>
      <c r="G204" s="351">
        <f t="shared" si="64"/>
        <v>0</v>
      </c>
      <c r="H204" s="325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</row>
    <row r="205" spans="1:26" ht="15.75" customHeight="1" x14ac:dyDescent="0.25">
      <c r="A205" s="122" t="s">
        <v>275</v>
      </c>
      <c r="B205" s="344">
        <f>52.25</f>
        <v>52.25</v>
      </c>
      <c r="C205" s="344">
        <f>389.5</f>
        <v>389.5</v>
      </c>
      <c r="D205" s="344">
        <f>123.75</f>
        <v>123.75</v>
      </c>
      <c r="E205" s="344">
        <f>721.45</f>
        <v>721.45</v>
      </c>
      <c r="F205" s="344">
        <f>611.45</f>
        <v>611.45000000000005</v>
      </c>
      <c r="G205" s="344">
        <f>60</f>
        <v>60</v>
      </c>
      <c r="H205" s="325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</row>
    <row r="206" spans="1:26" ht="15.75" customHeight="1" x14ac:dyDescent="0.25">
      <c r="A206" s="122" t="s">
        <v>276</v>
      </c>
      <c r="B206" s="344">
        <f>594.87</f>
        <v>594.87</v>
      </c>
      <c r="C206" s="344">
        <f>856.75</f>
        <v>856.75</v>
      </c>
      <c r="D206" s="344">
        <f>1124.09</f>
        <v>1124.0899999999999</v>
      </c>
      <c r="E206" s="344">
        <f>772.19</f>
        <v>772.19</v>
      </c>
      <c r="F206" s="344">
        <f>793.74</f>
        <v>793.74</v>
      </c>
      <c r="G206" s="344">
        <f>413.62</f>
        <v>413.62</v>
      </c>
      <c r="H206" s="325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</row>
    <row r="207" spans="1:26" ht="15.75" customHeight="1" x14ac:dyDescent="0.25">
      <c r="A207" s="46" t="s">
        <v>278</v>
      </c>
      <c r="B207" s="328">
        <f>58.3</f>
        <v>58.3</v>
      </c>
      <c r="C207" s="323"/>
      <c r="D207" s="328">
        <f>117.5</f>
        <v>117.5</v>
      </c>
      <c r="E207" s="323"/>
      <c r="F207" s="324"/>
      <c r="G207" s="323"/>
      <c r="H207" s="32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6" t="s">
        <v>279</v>
      </c>
      <c r="B208" s="328">
        <f>1746</f>
        <v>1746</v>
      </c>
      <c r="C208" s="328">
        <f>3168</f>
        <v>3168</v>
      </c>
      <c r="D208" s="328">
        <f>880</f>
        <v>880</v>
      </c>
      <c r="E208" s="328">
        <f>4347.49</f>
        <v>4347.49</v>
      </c>
      <c r="F208" s="328">
        <f>6888.49</f>
        <v>6888.49</v>
      </c>
      <c r="G208" s="328">
        <f>2965</f>
        <v>2965</v>
      </c>
      <c r="H208" s="32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6" t="s">
        <v>281</v>
      </c>
      <c r="B209" s="328">
        <f>254.56</f>
        <v>254.56</v>
      </c>
      <c r="C209" s="328">
        <f>224.57</f>
        <v>224.57</v>
      </c>
      <c r="D209" s="328">
        <f>920.53</f>
        <v>920.53</v>
      </c>
      <c r="E209" s="328">
        <f>597.15</f>
        <v>597.15</v>
      </c>
      <c r="F209" s="328">
        <f>684.6</f>
        <v>684.6</v>
      </c>
      <c r="G209" s="328">
        <f>624.79</f>
        <v>624.79</v>
      </c>
      <c r="H209" s="32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6" t="s">
        <v>282</v>
      </c>
      <c r="B210" s="323"/>
      <c r="C210" s="323"/>
      <c r="D210" s="323"/>
      <c r="E210" s="323"/>
      <c r="F210" s="328">
        <f t="shared" ref="F210:G210" si="65">146.13</f>
        <v>146.13</v>
      </c>
      <c r="G210" s="328">
        <f t="shared" si="65"/>
        <v>146.13</v>
      </c>
      <c r="H210" s="32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22" t="s">
        <v>284</v>
      </c>
      <c r="B211" s="351">
        <f t="shared" ref="B211:G211" si="66">SUM(B207:B210)</f>
        <v>2058.86</v>
      </c>
      <c r="C211" s="351">
        <f t="shared" si="66"/>
        <v>3392.57</v>
      </c>
      <c r="D211" s="351">
        <f t="shared" si="66"/>
        <v>1918.03</v>
      </c>
      <c r="E211" s="351">
        <f t="shared" si="66"/>
        <v>4944.6399999999994</v>
      </c>
      <c r="F211" s="351">
        <f t="shared" si="66"/>
        <v>7719.22</v>
      </c>
      <c r="G211" s="351">
        <f t="shared" si="66"/>
        <v>3735.92</v>
      </c>
      <c r="H211" s="325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</row>
    <row r="212" spans="1:26" ht="15.75" customHeight="1" x14ac:dyDescent="0.25">
      <c r="A212" s="122" t="s">
        <v>285</v>
      </c>
      <c r="B212" s="344">
        <f>439.17</f>
        <v>439.17</v>
      </c>
      <c r="C212" s="346"/>
      <c r="D212" s="344">
        <f>639.05</f>
        <v>639.04999999999995</v>
      </c>
      <c r="E212" s="344">
        <f>694.59</f>
        <v>694.59</v>
      </c>
      <c r="F212" s="344">
        <f>815.33</f>
        <v>815.33</v>
      </c>
      <c r="G212" s="344">
        <f>570.34</f>
        <v>570.34</v>
      </c>
      <c r="H212" s="325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</row>
    <row r="213" spans="1:26" ht="15.75" customHeight="1" x14ac:dyDescent="0.25">
      <c r="A213" s="122" t="s">
        <v>287</v>
      </c>
      <c r="B213" s="344">
        <f>1707.6</f>
        <v>1707.6</v>
      </c>
      <c r="C213" s="344">
        <f>1656.84</f>
        <v>1656.84</v>
      </c>
      <c r="D213" s="344">
        <f>1929.25</f>
        <v>1929.25</v>
      </c>
      <c r="E213" s="344">
        <f>3768.81</f>
        <v>3768.81</v>
      </c>
      <c r="F213" s="344">
        <f>4180.82</f>
        <v>4180.82</v>
      </c>
      <c r="G213" s="344">
        <f>2536.81</f>
        <v>2536.81</v>
      </c>
      <c r="H213" s="325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</row>
    <row r="214" spans="1:26" ht="15.75" customHeight="1" x14ac:dyDescent="0.25">
      <c r="A214" s="46" t="s">
        <v>292</v>
      </c>
      <c r="B214" s="323"/>
      <c r="C214" s="323"/>
      <c r="D214" s="323"/>
      <c r="E214" s="323"/>
      <c r="F214" s="324"/>
      <c r="G214" s="323"/>
      <c r="H214" s="32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6" t="s">
        <v>293</v>
      </c>
      <c r="B215" s="328">
        <f>12377.55</f>
        <v>12377.55</v>
      </c>
      <c r="C215" s="328">
        <f>12476.3</f>
        <v>12476.3</v>
      </c>
      <c r="D215" s="328">
        <f>11831.65</f>
        <v>11831.65</v>
      </c>
      <c r="E215" s="328">
        <f>10586.42</f>
        <v>10586.42</v>
      </c>
      <c r="F215" s="328">
        <f>7782.47</f>
        <v>7782.47</v>
      </c>
      <c r="G215" s="328">
        <f>5397.88</f>
        <v>5397.88</v>
      </c>
      <c r="H215" s="32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6" t="s">
        <v>295</v>
      </c>
      <c r="B216" s="328">
        <f>3060.21</f>
        <v>3060.21</v>
      </c>
      <c r="C216" s="328">
        <f>2985.22</f>
        <v>2985.22</v>
      </c>
      <c r="D216" s="328">
        <f>4021.08</f>
        <v>4021.08</v>
      </c>
      <c r="E216" s="328">
        <f>4376.91</f>
        <v>4376.91</v>
      </c>
      <c r="F216" s="328">
        <f>3097.28</f>
        <v>3097.28</v>
      </c>
      <c r="G216" s="328">
        <f>1793.06</f>
        <v>1793.06</v>
      </c>
      <c r="H216" s="32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6" t="s">
        <v>297</v>
      </c>
      <c r="B217" s="328">
        <f>598.68</f>
        <v>598.67999999999995</v>
      </c>
      <c r="C217" s="328">
        <f>711.2</f>
        <v>711.2</v>
      </c>
      <c r="D217" s="328">
        <f>977.14</f>
        <v>977.14</v>
      </c>
      <c r="E217" s="328">
        <f>1454.88</f>
        <v>1454.88</v>
      </c>
      <c r="F217" s="328">
        <f>1411.46</f>
        <v>1411.46</v>
      </c>
      <c r="G217" s="328">
        <f>871.83</f>
        <v>871.83</v>
      </c>
      <c r="H217" s="32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6" t="s">
        <v>299</v>
      </c>
      <c r="B218" s="328">
        <f>704.72</f>
        <v>704.72</v>
      </c>
      <c r="C218" s="328">
        <f>939.08</f>
        <v>939.08</v>
      </c>
      <c r="D218" s="328">
        <f>1170.36</f>
        <v>1170.3599999999999</v>
      </c>
      <c r="E218" s="328">
        <f>1494.9</f>
        <v>1494.9</v>
      </c>
      <c r="F218" s="328">
        <f>1268.65</f>
        <v>1268.6500000000001</v>
      </c>
      <c r="G218" s="328">
        <f>745.72</f>
        <v>745.72</v>
      </c>
      <c r="H218" s="32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22" t="s">
        <v>300</v>
      </c>
      <c r="B219" s="351">
        <f t="shared" ref="B219:G219" si="67">SUM(B214:B218)</f>
        <v>16741.16</v>
      </c>
      <c r="C219" s="351">
        <f t="shared" si="67"/>
        <v>17111.8</v>
      </c>
      <c r="D219" s="351">
        <f t="shared" si="67"/>
        <v>18000.23</v>
      </c>
      <c r="E219" s="351">
        <f t="shared" si="67"/>
        <v>17913.11</v>
      </c>
      <c r="F219" s="351">
        <f t="shared" si="67"/>
        <v>13559.859999999999</v>
      </c>
      <c r="G219" s="351">
        <f t="shared" si="67"/>
        <v>8808.49</v>
      </c>
      <c r="H219" s="325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</row>
    <row r="220" spans="1:26" ht="15.75" customHeight="1" x14ac:dyDescent="0.25">
      <c r="A220" s="122" t="s">
        <v>301</v>
      </c>
      <c r="B220" s="344">
        <f t="shared" ref="B220:D220" si="68">890.4</f>
        <v>890.4</v>
      </c>
      <c r="C220" s="344">
        <f t="shared" si="68"/>
        <v>890.4</v>
      </c>
      <c r="D220" s="344">
        <f t="shared" si="68"/>
        <v>890.4</v>
      </c>
      <c r="E220" s="344">
        <f>1086.06</f>
        <v>1086.06</v>
      </c>
      <c r="F220" s="344">
        <f>1738.72</f>
        <v>1738.72</v>
      </c>
      <c r="G220" s="344">
        <f>1701.77</f>
        <v>1701.77</v>
      </c>
      <c r="H220" s="325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</row>
    <row r="221" spans="1:26" ht="15.75" customHeight="1" x14ac:dyDescent="0.25">
      <c r="A221" s="46" t="s">
        <v>303</v>
      </c>
      <c r="B221" s="323"/>
      <c r="C221" s="323"/>
      <c r="D221" s="323"/>
      <c r="E221" s="323"/>
      <c r="F221" s="324"/>
      <c r="G221" s="323"/>
      <c r="H221" s="32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6" t="s">
        <v>305</v>
      </c>
      <c r="B222" s="328">
        <f>5245</f>
        <v>5245</v>
      </c>
      <c r="C222" s="328">
        <f>3210</f>
        <v>3210</v>
      </c>
      <c r="D222" s="328">
        <f>3140</f>
        <v>3140</v>
      </c>
      <c r="E222" s="328">
        <f>3984</f>
        <v>3984</v>
      </c>
      <c r="F222" s="328">
        <f>4280.34</f>
        <v>4280.34</v>
      </c>
      <c r="G222" s="328">
        <f>4115.34</f>
        <v>4115.34</v>
      </c>
      <c r="H222" s="32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6" t="s">
        <v>308</v>
      </c>
      <c r="B223" s="328">
        <f>852</f>
        <v>852</v>
      </c>
      <c r="C223" s="328">
        <f>253</f>
        <v>253</v>
      </c>
      <c r="D223" s="328">
        <f>1000.19</f>
        <v>1000.19</v>
      </c>
      <c r="E223" s="328">
        <f>800</f>
        <v>800</v>
      </c>
      <c r="F223" s="324"/>
      <c r="G223" s="323"/>
      <c r="H223" s="32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22" t="s">
        <v>311</v>
      </c>
      <c r="B224" s="351">
        <f t="shared" ref="B224:G224" si="69">SUM(B221:B223)</f>
        <v>6097</v>
      </c>
      <c r="C224" s="351">
        <f t="shared" si="69"/>
        <v>3463</v>
      </c>
      <c r="D224" s="351">
        <f t="shared" si="69"/>
        <v>4140.1900000000005</v>
      </c>
      <c r="E224" s="351">
        <f t="shared" si="69"/>
        <v>4784</v>
      </c>
      <c r="F224" s="351">
        <f t="shared" si="69"/>
        <v>4280.34</v>
      </c>
      <c r="G224" s="351">
        <f t="shared" si="69"/>
        <v>4115.34</v>
      </c>
      <c r="H224" s="325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</row>
    <row r="225" spans="1:26" ht="15.75" customHeight="1" x14ac:dyDescent="0.25">
      <c r="A225" s="122" t="s">
        <v>312</v>
      </c>
      <c r="B225" s="344">
        <f>5268</f>
        <v>5268</v>
      </c>
      <c r="C225" s="344">
        <f>5344</f>
        <v>5344</v>
      </c>
      <c r="D225" s="344">
        <f>5422</f>
        <v>5422</v>
      </c>
      <c r="E225" s="344">
        <f>5709</f>
        <v>5709</v>
      </c>
      <c r="F225" s="344">
        <f>6382.5</f>
        <v>6382.5</v>
      </c>
      <c r="G225" s="344">
        <f>5310.75</f>
        <v>5310.75</v>
      </c>
      <c r="H225" s="325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</row>
    <row r="226" spans="1:26" ht="15.75" customHeight="1" x14ac:dyDescent="0.25">
      <c r="A226" s="122" t="s">
        <v>315</v>
      </c>
      <c r="B226" s="344">
        <f t="shared" ref="B226:C226" si="70">1</f>
        <v>1</v>
      </c>
      <c r="C226" s="344">
        <f t="shared" si="70"/>
        <v>1</v>
      </c>
      <c r="D226" s="344">
        <f>68.53</f>
        <v>68.53</v>
      </c>
      <c r="E226" s="344">
        <f t="shared" ref="E226:F226" si="71">45.41</f>
        <v>45.41</v>
      </c>
      <c r="F226" s="344">
        <f t="shared" si="71"/>
        <v>45.41</v>
      </c>
      <c r="G226" s="344">
        <f>1</f>
        <v>1</v>
      </c>
      <c r="H226" s="325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</row>
    <row r="227" spans="1:26" ht="15.75" customHeight="1" x14ac:dyDescent="0.25">
      <c r="A227" s="46" t="s">
        <v>600</v>
      </c>
      <c r="B227" s="328">
        <f>905</f>
        <v>905</v>
      </c>
      <c r="C227" s="323"/>
      <c r="D227" s="323"/>
      <c r="E227" s="328">
        <f t="shared" ref="E227:F227" si="72">21042</f>
        <v>21042</v>
      </c>
      <c r="F227" s="328">
        <f t="shared" si="72"/>
        <v>21042</v>
      </c>
      <c r="G227" s="323"/>
      <c r="H227" s="32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6" t="s">
        <v>601</v>
      </c>
      <c r="B228" s="323"/>
      <c r="C228" s="323"/>
      <c r="D228" s="323"/>
      <c r="E228" s="323"/>
      <c r="F228" s="324"/>
      <c r="G228" s="323"/>
      <c r="H228" s="32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6" t="s">
        <v>602</v>
      </c>
      <c r="B229" s="323"/>
      <c r="C229" s="323"/>
      <c r="D229" s="323"/>
      <c r="E229" s="323"/>
      <c r="F229" s="324"/>
      <c r="G229" s="323"/>
      <c r="H229" s="32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22" t="s">
        <v>603</v>
      </c>
      <c r="B230" s="351">
        <f t="shared" ref="B230:G230" si="73">SUM(B227:B229)</f>
        <v>905</v>
      </c>
      <c r="C230" s="351">
        <f t="shared" si="73"/>
        <v>0</v>
      </c>
      <c r="D230" s="351">
        <f t="shared" si="73"/>
        <v>0</v>
      </c>
      <c r="E230" s="351">
        <f t="shared" si="73"/>
        <v>21042</v>
      </c>
      <c r="F230" s="351">
        <f t="shared" si="73"/>
        <v>21042</v>
      </c>
      <c r="G230" s="351">
        <f t="shared" si="73"/>
        <v>0</v>
      </c>
      <c r="H230" s="325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</row>
    <row r="231" spans="1:26" ht="15.75" customHeight="1" x14ac:dyDescent="0.25">
      <c r="A231" s="122" t="s">
        <v>318</v>
      </c>
      <c r="B231" s="344">
        <f>1110</f>
        <v>1110</v>
      </c>
      <c r="C231" s="344">
        <f>1136.5</f>
        <v>1136.5</v>
      </c>
      <c r="D231" s="344">
        <f>1498.75</f>
        <v>1498.75</v>
      </c>
      <c r="E231" s="344">
        <f>1463.98</f>
        <v>1463.98</v>
      </c>
      <c r="F231" s="344">
        <f>1342.63</f>
        <v>1342.63</v>
      </c>
      <c r="G231" s="344">
        <f>1359.65</f>
        <v>1359.65</v>
      </c>
      <c r="H231" s="325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131"/>
    </row>
    <row r="232" spans="1:26" ht="15.75" customHeight="1" x14ac:dyDescent="0.25">
      <c r="A232" s="217" t="s">
        <v>323</v>
      </c>
      <c r="B232" s="354">
        <f t="shared" ref="B232:G232" si="74">(((((((((((((((((B192)+(B193))+(B196))+(B197))+(B204))+(B205))+(B206))+(B211))+(B212))+(B213))+(B219))+(B220))+(B224))+(B225))+(B226))+(B230))+(B231))</f>
        <v>126993.31</v>
      </c>
      <c r="C232" s="354">
        <f t="shared" si="74"/>
        <v>126320.36</v>
      </c>
      <c r="D232" s="354">
        <f t="shared" si="74"/>
        <v>122982.26999999999</v>
      </c>
      <c r="E232" s="354">
        <f t="shared" si="74"/>
        <v>125225.88999999998</v>
      </c>
      <c r="F232" s="354">
        <f t="shared" si="74"/>
        <v>115627.08</v>
      </c>
      <c r="G232" s="354">
        <f t="shared" si="74"/>
        <v>43585.73</v>
      </c>
      <c r="H232" s="325"/>
      <c r="I232" s="224"/>
      <c r="J232" s="224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4"/>
      <c r="W232" s="224"/>
      <c r="X232" s="224"/>
      <c r="Y232" s="224"/>
      <c r="Z232" s="224"/>
    </row>
    <row r="233" spans="1:26" ht="15.75" customHeight="1" x14ac:dyDescent="0.25">
      <c r="A233" s="20"/>
      <c r="B233" s="323"/>
      <c r="C233" s="323"/>
      <c r="D233" s="323"/>
      <c r="E233" s="328"/>
      <c r="F233" s="324"/>
      <c r="G233" s="323"/>
      <c r="H233" s="32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22" t="s">
        <v>324</v>
      </c>
      <c r="B234" s="346"/>
      <c r="C234" s="346"/>
      <c r="D234" s="346"/>
      <c r="E234" s="344">
        <f>99.18</f>
        <v>99.18</v>
      </c>
      <c r="F234" s="345"/>
      <c r="G234" s="346"/>
      <c r="H234" s="325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</row>
    <row r="235" spans="1:26" ht="15.75" customHeight="1" x14ac:dyDescent="0.25">
      <c r="A235" s="122" t="s">
        <v>325</v>
      </c>
      <c r="B235" s="346"/>
      <c r="C235" s="346"/>
      <c r="D235" s="346"/>
      <c r="E235" s="346"/>
      <c r="F235" s="344">
        <f t="shared" ref="F235:G235" si="75">194.18</f>
        <v>194.18</v>
      </c>
      <c r="G235" s="344">
        <f t="shared" si="75"/>
        <v>194.18</v>
      </c>
      <c r="H235" s="325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</row>
    <row r="236" spans="1:26" ht="15.75" customHeight="1" x14ac:dyDescent="0.25">
      <c r="A236" s="122" t="s">
        <v>327</v>
      </c>
      <c r="B236" s="344">
        <f>23328.56</f>
        <v>23328.560000000001</v>
      </c>
      <c r="C236" s="344">
        <f>23573.45</f>
        <v>23573.45</v>
      </c>
      <c r="D236" s="344">
        <f>27332.06</f>
        <v>27332.06</v>
      </c>
      <c r="E236" s="344">
        <f>25224.21</f>
        <v>25224.21</v>
      </c>
      <c r="F236" s="344">
        <f>25226.86</f>
        <v>25226.86</v>
      </c>
      <c r="G236" s="344">
        <f>18473.95</f>
        <v>18473.95</v>
      </c>
      <c r="H236" s="325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</row>
    <row r="237" spans="1:26" ht="15.75" customHeight="1" x14ac:dyDescent="0.25">
      <c r="A237" s="122" t="s">
        <v>329</v>
      </c>
      <c r="B237" s="344">
        <f>534.23</f>
        <v>534.23</v>
      </c>
      <c r="C237" s="344">
        <f>542.38</f>
        <v>542.38</v>
      </c>
      <c r="D237" s="344">
        <f>327</f>
        <v>327</v>
      </c>
      <c r="E237" s="344">
        <f>176</f>
        <v>176</v>
      </c>
      <c r="F237" s="345"/>
      <c r="G237" s="346"/>
      <c r="H237" s="325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1"/>
      <c r="Z237" s="131"/>
    </row>
    <row r="238" spans="1:26" ht="15.75" customHeight="1" x14ac:dyDescent="0.25">
      <c r="A238" s="46" t="s">
        <v>604</v>
      </c>
      <c r="B238" s="328">
        <f>4382.43</f>
        <v>4382.43</v>
      </c>
      <c r="C238" s="328">
        <f>3924.99</f>
        <v>3924.99</v>
      </c>
      <c r="D238" s="328">
        <f>6460.56</f>
        <v>6460.56</v>
      </c>
      <c r="E238" s="328">
        <f>5960</f>
        <v>5960</v>
      </c>
      <c r="F238" s="328">
        <f>570</f>
        <v>570</v>
      </c>
      <c r="G238" s="323"/>
      <c r="H238" s="32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6" t="s">
        <v>331</v>
      </c>
      <c r="B239" s="323"/>
      <c r="C239" s="323"/>
      <c r="D239" s="323"/>
      <c r="E239" s="323"/>
      <c r="F239" s="328">
        <f>2023.78</f>
        <v>2023.78</v>
      </c>
      <c r="G239" s="328">
        <f>2464.43</f>
        <v>2464.4299999999998</v>
      </c>
      <c r="H239" s="32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6" t="s">
        <v>333</v>
      </c>
      <c r="B240" s="323"/>
      <c r="C240" s="323"/>
      <c r="D240" s="323"/>
      <c r="E240" s="323"/>
      <c r="F240" s="328">
        <f>235.55</f>
        <v>235.55</v>
      </c>
      <c r="G240" s="328">
        <f>294.9</f>
        <v>294.89999999999998</v>
      </c>
      <c r="H240" s="32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6" t="s">
        <v>335</v>
      </c>
      <c r="B241" s="323"/>
      <c r="C241" s="323"/>
      <c r="D241" s="323"/>
      <c r="E241" s="323"/>
      <c r="F241" s="328">
        <f t="shared" ref="F241:G241" si="76">120</f>
        <v>120</v>
      </c>
      <c r="G241" s="328">
        <f t="shared" si="76"/>
        <v>120</v>
      </c>
      <c r="H241" s="32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22" t="s">
        <v>337</v>
      </c>
      <c r="B242" s="351">
        <f t="shared" ref="B242:G242" si="77">SUM(B238:B241)</f>
        <v>4382.43</v>
      </c>
      <c r="C242" s="351">
        <f t="shared" si="77"/>
        <v>3924.99</v>
      </c>
      <c r="D242" s="351">
        <f t="shared" si="77"/>
        <v>6460.56</v>
      </c>
      <c r="E242" s="351">
        <f t="shared" si="77"/>
        <v>5960</v>
      </c>
      <c r="F242" s="351">
        <f t="shared" si="77"/>
        <v>2949.33</v>
      </c>
      <c r="G242" s="351">
        <f t="shared" si="77"/>
        <v>2879.33</v>
      </c>
      <c r="H242" s="325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</row>
    <row r="243" spans="1:26" ht="15.75" customHeight="1" x14ac:dyDescent="0.25">
      <c r="A243" s="122" t="s">
        <v>338</v>
      </c>
      <c r="B243" s="346"/>
      <c r="C243" s="346"/>
      <c r="D243" s="346"/>
      <c r="E243" s="344">
        <f>3115</f>
        <v>3115</v>
      </c>
      <c r="F243" s="344">
        <f>2865.64</f>
        <v>2865.64</v>
      </c>
      <c r="G243" s="344">
        <f>1969.47</f>
        <v>1969.47</v>
      </c>
      <c r="H243" s="325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</row>
    <row r="244" spans="1:26" ht="15.75" customHeight="1" x14ac:dyDescent="0.25">
      <c r="A244" s="217" t="s">
        <v>340</v>
      </c>
      <c r="B244" s="354">
        <f t="shared" ref="B244:G244" si="78">SUM(B234:B237)+SUM(B242:B243)</f>
        <v>28245.22</v>
      </c>
      <c r="C244" s="354">
        <f t="shared" si="78"/>
        <v>28040.82</v>
      </c>
      <c r="D244" s="354">
        <f t="shared" si="78"/>
        <v>34119.620000000003</v>
      </c>
      <c r="E244" s="354">
        <f t="shared" si="78"/>
        <v>34574.39</v>
      </c>
      <c r="F244" s="354">
        <f t="shared" si="78"/>
        <v>31236.010000000002</v>
      </c>
      <c r="G244" s="354">
        <f t="shared" si="78"/>
        <v>23516.93</v>
      </c>
      <c r="H244" s="325"/>
      <c r="I244" s="224"/>
      <c r="J244" s="224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4"/>
      <c r="W244" s="224"/>
      <c r="X244" s="224"/>
      <c r="Y244" s="224"/>
      <c r="Z244" s="224"/>
    </row>
    <row r="245" spans="1:26" ht="15.75" customHeight="1" x14ac:dyDescent="0.25">
      <c r="A245" s="20"/>
      <c r="B245" s="328"/>
      <c r="C245" s="328"/>
      <c r="D245" s="323"/>
      <c r="E245" s="323"/>
      <c r="F245" s="324"/>
      <c r="G245" s="323"/>
      <c r="H245" s="32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22" t="s">
        <v>341</v>
      </c>
      <c r="B246" s="344">
        <f>431.03</f>
        <v>431.03</v>
      </c>
      <c r="C246" s="344">
        <f>75.8</f>
        <v>75.8</v>
      </c>
      <c r="D246" s="346"/>
      <c r="E246" s="346"/>
      <c r="F246" s="345"/>
      <c r="G246" s="346"/>
      <c r="H246" s="325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31"/>
      <c r="T246" s="131"/>
      <c r="U246" s="131"/>
      <c r="V246" s="131"/>
      <c r="W246" s="131"/>
      <c r="X246" s="131"/>
      <c r="Y246" s="131"/>
      <c r="Z246" s="131"/>
    </row>
    <row r="247" spans="1:26" ht="15.75" customHeight="1" x14ac:dyDescent="0.25">
      <c r="A247" s="122" t="s">
        <v>342</v>
      </c>
      <c r="B247" s="344">
        <f>233.2</f>
        <v>233.2</v>
      </c>
      <c r="C247" s="344">
        <f>230.39</f>
        <v>230.39</v>
      </c>
      <c r="D247" s="344">
        <f>543.68</f>
        <v>543.67999999999995</v>
      </c>
      <c r="E247" s="344">
        <f>727.67</f>
        <v>727.67</v>
      </c>
      <c r="F247" s="344">
        <f>349.01</f>
        <v>349.01</v>
      </c>
      <c r="G247" s="344">
        <f>204.55</f>
        <v>204.55</v>
      </c>
      <c r="H247" s="325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131"/>
    </row>
    <row r="248" spans="1:26" ht="15.75" customHeight="1" x14ac:dyDescent="0.25">
      <c r="A248" s="122" t="s">
        <v>345</v>
      </c>
      <c r="B248" s="344">
        <f>434.46</f>
        <v>434.46</v>
      </c>
      <c r="C248" s="344">
        <f>563.26</f>
        <v>563.26</v>
      </c>
      <c r="D248" s="344">
        <f>695.7</f>
        <v>695.7</v>
      </c>
      <c r="E248" s="344">
        <f>771.88</f>
        <v>771.88</v>
      </c>
      <c r="F248" s="344">
        <f>550</f>
        <v>550</v>
      </c>
      <c r="G248" s="346"/>
      <c r="H248" s="325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</row>
    <row r="249" spans="1:26" ht="15.75" customHeight="1" x14ac:dyDescent="0.25">
      <c r="A249" s="122" t="s">
        <v>348</v>
      </c>
      <c r="B249" s="344">
        <f>258.85</f>
        <v>258.85000000000002</v>
      </c>
      <c r="C249" s="344">
        <f>29.67</f>
        <v>29.67</v>
      </c>
      <c r="D249" s="344">
        <f>53.94</f>
        <v>53.94</v>
      </c>
      <c r="E249" s="344">
        <f>56.55</f>
        <v>56.55</v>
      </c>
      <c r="F249" s="344">
        <f>580.93</f>
        <v>580.92999999999995</v>
      </c>
      <c r="G249" s="344">
        <f>540.16</f>
        <v>540.16</v>
      </c>
      <c r="H249" s="325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</row>
    <row r="250" spans="1:26" ht="15.75" customHeight="1" x14ac:dyDescent="0.25">
      <c r="A250" s="122" t="s">
        <v>350</v>
      </c>
      <c r="B250" s="346"/>
      <c r="C250" s="344">
        <f>57.31</f>
        <v>57.31</v>
      </c>
      <c r="D250" s="346"/>
      <c r="E250" s="346"/>
      <c r="F250" s="345"/>
      <c r="G250" s="346"/>
      <c r="H250" s="325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</row>
    <row r="251" spans="1:26" ht="15.75" customHeight="1" x14ac:dyDescent="0.25">
      <c r="A251" s="122" t="s">
        <v>351</v>
      </c>
      <c r="B251" s="346"/>
      <c r="C251" s="346"/>
      <c r="D251" s="346"/>
      <c r="E251" s="344">
        <f t="shared" ref="E251:F251" si="79">2017.01</f>
        <v>2017.01</v>
      </c>
      <c r="F251" s="344">
        <f t="shared" si="79"/>
        <v>2017.01</v>
      </c>
      <c r="G251" s="346"/>
      <c r="H251" s="325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131"/>
    </row>
    <row r="252" spans="1:26" ht="15.75" customHeight="1" x14ac:dyDescent="0.25">
      <c r="A252" s="217" t="s">
        <v>352</v>
      </c>
      <c r="B252" s="354">
        <f t="shared" ref="B252:G252" si="80">SUM(B246:B251)</f>
        <v>1357.54</v>
      </c>
      <c r="C252" s="354">
        <f t="shared" si="80"/>
        <v>956.43000000000006</v>
      </c>
      <c r="D252" s="354">
        <f t="shared" si="80"/>
        <v>1293.3200000000002</v>
      </c>
      <c r="E252" s="354">
        <f t="shared" si="80"/>
        <v>3573.1099999999997</v>
      </c>
      <c r="F252" s="354">
        <f t="shared" si="80"/>
        <v>3496.95</v>
      </c>
      <c r="G252" s="354">
        <f t="shared" si="80"/>
        <v>744.71</v>
      </c>
      <c r="H252" s="325"/>
      <c r="I252" s="224"/>
      <c r="J252" s="224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4"/>
      <c r="W252" s="224"/>
      <c r="X252" s="224"/>
      <c r="Y252" s="224"/>
      <c r="Z252" s="224"/>
    </row>
    <row r="253" spans="1:26" ht="15.75" customHeight="1" x14ac:dyDescent="0.25">
      <c r="A253" s="20"/>
      <c r="B253" s="323"/>
      <c r="C253" s="323"/>
      <c r="D253" s="323"/>
      <c r="E253" s="323"/>
      <c r="F253" s="324"/>
      <c r="G253" s="323"/>
      <c r="H253" s="32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22" t="s">
        <v>353</v>
      </c>
      <c r="B254" s="346"/>
      <c r="C254" s="346"/>
      <c r="D254" s="346"/>
      <c r="E254" s="346"/>
      <c r="F254" s="345"/>
      <c r="G254" s="346"/>
      <c r="H254" s="325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31"/>
      <c r="T254" s="131"/>
      <c r="U254" s="131"/>
      <c r="V254" s="131"/>
      <c r="W254" s="131"/>
      <c r="X254" s="131"/>
      <c r="Y254" s="131"/>
      <c r="Z254" s="131"/>
    </row>
    <row r="255" spans="1:26" ht="15.75" customHeight="1" x14ac:dyDescent="0.25">
      <c r="A255" s="122" t="s">
        <v>354</v>
      </c>
      <c r="B255" s="346"/>
      <c r="C255" s="346"/>
      <c r="D255" s="346"/>
      <c r="E255" s="346"/>
      <c r="F255" s="345"/>
      <c r="G255" s="346"/>
      <c r="H255" s="325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  <c r="W255" s="131"/>
      <c r="X255" s="131"/>
      <c r="Y255" s="131"/>
      <c r="Z255" s="131"/>
    </row>
    <row r="256" spans="1:26" ht="15.75" customHeight="1" x14ac:dyDescent="0.25">
      <c r="A256" s="122" t="s">
        <v>356</v>
      </c>
      <c r="B256" s="344">
        <f t="shared" ref="B256:C256" si="81">500</f>
        <v>500</v>
      </c>
      <c r="C256" s="344">
        <f t="shared" si="81"/>
        <v>500</v>
      </c>
      <c r="D256" s="346"/>
      <c r="E256" s="346"/>
      <c r="F256" s="345"/>
      <c r="G256" s="346"/>
      <c r="H256" s="325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31"/>
      <c r="T256" s="131"/>
      <c r="U256" s="131"/>
      <c r="V256" s="131"/>
      <c r="W256" s="131"/>
      <c r="X256" s="131"/>
      <c r="Y256" s="131"/>
      <c r="Z256" s="131"/>
    </row>
    <row r="257" spans="1:26" ht="15.75" customHeight="1" x14ac:dyDescent="0.25">
      <c r="A257" s="122" t="s">
        <v>605</v>
      </c>
      <c r="B257" s="346"/>
      <c r="C257" s="346"/>
      <c r="D257" s="346"/>
      <c r="E257" s="346"/>
      <c r="F257" s="345"/>
      <c r="G257" s="346"/>
      <c r="H257" s="325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</row>
    <row r="258" spans="1:26" ht="15.75" customHeight="1" x14ac:dyDescent="0.25">
      <c r="A258" s="122" t="s">
        <v>606</v>
      </c>
      <c r="B258" s="346"/>
      <c r="C258" s="346"/>
      <c r="D258" s="346"/>
      <c r="E258" s="346"/>
      <c r="F258" s="345"/>
      <c r="G258" s="346"/>
      <c r="H258" s="325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  <c r="Z258" s="131"/>
    </row>
    <row r="259" spans="1:26" ht="15.75" customHeight="1" x14ac:dyDescent="0.25">
      <c r="A259" s="122" t="s">
        <v>607</v>
      </c>
      <c r="B259" s="346"/>
      <c r="C259" s="346"/>
      <c r="D259" s="346"/>
      <c r="E259" s="346"/>
      <c r="F259" s="345"/>
      <c r="G259" s="346"/>
      <c r="H259" s="325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</row>
    <row r="260" spans="1:26" ht="15.75" customHeight="1" x14ac:dyDescent="0.25">
      <c r="A260" s="46" t="s">
        <v>357</v>
      </c>
      <c r="B260" s="323"/>
      <c r="C260" s="323"/>
      <c r="D260" s="323"/>
      <c r="E260" s="323"/>
      <c r="F260" s="324"/>
      <c r="G260" s="323"/>
      <c r="H260" s="32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6" t="s">
        <v>358</v>
      </c>
      <c r="B261" s="328">
        <f>492</f>
        <v>492</v>
      </c>
      <c r="C261" s="328">
        <f t="shared" ref="C261:D261" si="82">509</f>
        <v>509</v>
      </c>
      <c r="D261" s="328">
        <f t="shared" si="82"/>
        <v>509</v>
      </c>
      <c r="E261" s="328">
        <f t="shared" ref="E261:F261" si="83">520</f>
        <v>520</v>
      </c>
      <c r="F261" s="328">
        <f t="shared" si="83"/>
        <v>520</v>
      </c>
      <c r="G261" s="323"/>
      <c r="H261" s="32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6" t="s">
        <v>360</v>
      </c>
      <c r="B262" s="323"/>
      <c r="C262" s="323"/>
      <c r="D262" s="323"/>
      <c r="E262" s="328">
        <f t="shared" ref="E262:G262" si="84">250</f>
        <v>250</v>
      </c>
      <c r="F262" s="328">
        <f t="shared" si="84"/>
        <v>250</v>
      </c>
      <c r="G262" s="328">
        <f t="shared" si="84"/>
        <v>250</v>
      </c>
      <c r="H262" s="32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6" t="s">
        <v>361</v>
      </c>
      <c r="B263" s="323"/>
      <c r="C263" s="323"/>
      <c r="D263" s="323"/>
      <c r="E263" s="323"/>
      <c r="F263" s="328">
        <f t="shared" ref="F263:G263" si="85">69</f>
        <v>69</v>
      </c>
      <c r="G263" s="328">
        <f t="shared" si="85"/>
        <v>69</v>
      </c>
      <c r="H263" s="32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22" t="s">
        <v>363</v>
      </c>
      <c r="B264" s="351">
        <f t="shared" ref="B264:G264" si="86">SUM(B260:B263)</f>
        <v>492</v>
      </c>
      <c r="C264" s="351">
        <f t="shared" si="86"/>
        <v>509</v>
      </c>
      <c r="D264" s="351">
        <f t="shared" si="86"/>
        <v>509</v>
      </c>
      <c r="E264" s="351">
        <f t="shared" si="86"/>
        <v>770</v>
      </c>
      <c r="F264" s="351">
        <f t="shared" si="86"/>
        <v>839</v>
      </c>
      <c r="G264" s="351">
        <f t="shared" si="86"/>
        <v>319</v>
      </c>
      <c r="H264" s="325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1"/>
      <c r="Z264" s="131"/>
    </row>
    <row r="265" spans="1:26" ht="15.75" customHeight="1" x14ac:dyDescent="0.25">
      <c r="A265" s="46" t="s">
        <v>364</v>
      </c>
      <c r="B265" s="323"/>
      <c r="C265" s="323"/>
      <c r="D265" s="323"/>
      <c r="E265" s="323"/>
      <c r="F265" s="324"/>
      <c r="G265" s="323"/>
      <c r="H265" s="32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6" t="s">
        <v>367</v>
      </c>
      <c r="B266" s="323"/>
      <c r="C266" s="323"/>
      <c r="D266" s="323"/>
      <c r="E266" s="328">
        <f>19.81</f>
        <v>19.809999999999999</v>
      </c>
      <c r="F266" s="328">
        <f>319.8</f>
        <v>319.8</v>
      </c>
      <c r="G266" s="328">
        <f>299.99</f>
        <v>299.99</v>
      </c>
      <c r="H266" s="32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22" t="s">
        <v>373</v>
      </c>
      <c r="B267" s="351">
        <f t="shared" ref="B267:G267" si="87">SUM(B265:B266)</f>
        <v>0</v>
      </c>
      <c r="C267" s="351">
        <f t="shared" si="87"/>
        <v>0</v>
      </c>
      <c r="D267" s="351">
        <f t="shared" si="87"/>
        <v>0</v>
      </c>
      <c r="E267" s="351">
        <f t="shared" si="87"/>
        <v>19.809999999999999</v>
      </c>
      <c r="F267" s="351">
        <f t="shared" si="87"/>
        <v>319.8</v>
      </c>
      <c r="G267" s="351">
        <f t="shared" si="87"/>
        <v>299.99</v>
      </c>
      <c r="H267" s="325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31"/>
      <c r="T267" s="131"/>
      <c r="U267" s="131"/>
      <c r="V267" s="131"/>
      <c r="W267" s="131"/>
      <c r="X267" s="131"/>
      <c r="Y267" s="131"/>
      <c r="Z267" s="131"/>
    </row>
    <row r="268" spans="1:26" ht="15.75" customHeight="1" x14ac:dyDescent="0.25">
      <c r="A268" s="122" t="s">
        <v>374</v>
      </c>
      <c r="B268" s="346"/>
      <c r="C268" s="346"/>
      <c r="D268" s="346"/>
      <c r="E268" s="346"/>
      <c r="F268" s="345"/>
      <c r="G268" s="346"/>
      <c r="H268" s="325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31"/>
      <c r="T268" s="131"/>
      <c r="U268" s="131"/>
      <c r="V268" s="131"/>
      <c r="W268" s="131"/>
      <c r="X268" s="131"/>
      <c r="Y268" s="131"/>
      <c r="Z268" s="131"/>
    </row>
    <row r="269" spans="1:26" ht="15.75" customHeight="1" x14ac:dyDescent="0.25">
      <c r="A269" s="217" t="s">
        <v>375</v>
      </c>
      <c r="B269" s="354">
        <f t="shared" ref="B269:G269" si="88">SUM(B254:B259)+B264+SUM(B267:B268)</f>
        <v>992</v>
      </c>
      <c r="C269" s="354">
        <f t="shared" si="88"/>
        <v>1009</v>
      </c>
      <c r="D269" s="354">
        <f t="shared" si="88"/>
        <v>509</v>
      </c>
      <c r="E269" s="354">
        <f t="shared" si="88"/>
        <v>789.81</v>
      </c>
      <c r="F269" s="354">
        <f t="shared" si="88"/>
        <v>1158.8</v>
      </c>
      <c r="G269" s="354">
        <f t="shared" si="88"/>
        <v>618.99</v>
      </c>
      <c r="H269" s="325"/>
      <c r="I269" s="224"/>
      <c r="J269" s="224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4"/>
      <c r="W269" s="224"/>
      <c r="X269" s="224"/>
      <c r="Y269" s="224"/>
      <c r="Z269" s="224"/>
    </row>
    <row r="270" spans="1:26" ht="15.75" customHeight="1" x14ac:dyDescent="0.25">
      <c r="A270" s="20"/>
      <c r="B270" s="328"/>
      <c r="C270" s="323"/>
      <c r="D270" s="323"/>
      <c r="E270" s="323"/>
      <c r="F270" s="324"/>
      <c r="G270" s="323"/>
      <c r="H270" s="32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22" t="s">
        <v>376</v>
      </c>
      <c r="B271" s="344">
        <f>29</f>
        <v>29</v>
      </c>
      <c r="C271" s="346"/>
      <c r="D271" s="346"/>
      <c r="E271" s="346"/>
      <c r="F271" s="345"/>
      <c r="G271" s="346"/>
      <c r="H271" s="325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31"/>
      <c r="T271" s="131"/>
      <c r="U271" s="131"/>
      <c r="V271" s="131"/>
      <c r="W271" s="131"/>
      <c r="X271" s="131"/>
      <c r="Y271" s="131"/>
      <c r="Z271" s="131"/>
    </row>
    <row r="272" spans="1:26" ht="15.75" customHeight="1" x14ac:dyDescent="0.25">
      <c r="A272" s="122" t="s">
        <v>377</v>
      </c>
      <c r="B272" s="346"/>
      <c r="C272" s="346"/>
      <c r="D272" s="346"/>
      <c r="E272" s="346"/>
      <c r="F272" s="345"/>
      <c r="G272" s="346"/>
      <c r="H272" s="325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  <c r="W272" s="131"/>
      <c r="X272" s="131"/>
      <c r="Y272" s="131"/>
      <c r="Z272" s="131"/>
    </row>
    <row r="273" spans="1:26" ht="15.75" customHeight="1" x14ac:dyDescent="0.25">
      <c r="A273" s="122" t="s">
        <v>378</v>
      </c>
      <c r="B273" s="344">
        <f>43.74</f>
        <v>43.74</v>
      </c>
      <c r="C273" s="344">
        <f>155.88</f>
        <v>155.88</v>
      </c>
      <c r="D273" s="344">
        <f>50</f>
        <v>50</v>
      </c>
      <c r="E273" s="344">
        <f>53.19</f>
        <v>53.19</v>
      </c>
      <c r="F273" s="344">
        <f t="shared" ref="F273:G273" si="89">100</f>
        <v>100</v>
      </c>
      <c r="G273" s="344">
        <f t="shared" si="89"/>
        <v>100</v>
      </c>
      <c r="H273" s="325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  <c r="U273" s="131"/>
      <c r="V273" s="131"/>
      <c r="W273" s="131"/>
      <c r="X273" s="131"/>
      <c r="Y273" s="131"/>
      <c r="Z273" s="131"/>
    </row>
    <row r="274" spans="1:26" ht="15.75" customHeight="1" x14ac:dyDescent="0.25">
      <c r="A274" s="46" t="s">
        <v>381</v>
      </c>
      <c r="B274" s="328">
        <f>392.23</f>
        <v>392.23</v>
      </c>
      <c r="C274" s="328">
        <f>610.17</f>
        <v>610.16999999999996</v>
      </c>
      <c r="D274" s="328">
        <f>759.66</f>
        <v>759.66</v>
      </c>
      <c r="E274" s="328">
        <f>3831.51</f>
        <v>3831.51</v>
      </c>
      <c r="F274" s="328">
        <f>244.48</f>
        <v>244.48</v>
      </c>
      <c r="G274" s="323"/>
      <c r="H274" s="32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6" t="s">
        <v>387</v>
      </c>
      <c r="B275" s="323"/>
      <c r="C275" s="323"/>
      <c r="D275" s="323"/>
      <c r="E275" s="323"/>
      <c r="F275" s="328">
        <f t="shared" ref="F275:G275" si="90">30.2</f>
        <v>30.2</v>
      </c>
      <c r="G275" s="328">
        <f t="shared" si="90"/>
        <v>30.2</v>
      </c>
      <c r="H275" s="32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22" t="s">
        <v>391</v>
      </c>
      <c r="B276" s="351">
        <f t="shared" ref="B276:G276" si="91">SUM(B274:B275)</f>
        <v>392.23</v>
      </c>
      <c r="C276" s="351">
        <f t="shared" si="91"/>
        <v>610.16999999999996</v>
      </c>
      <c r="D276" s="351">
        <f t="shared" si="91"/>
        <v>759.66</v>
      </c>
      <c r="E276" s="351">
        <f t="shared" si="91"/>
        <v>3831.51</v>
      </c>
      <c r="F276" s="351">
        <f t="shared" si="91"/>
        <v>274.68</v>
      </c>
      <c r="G276" s="351">
        <f t="shared" si="91"/>
        <v>30.2</v>
      </c>
      <c r="H276" s="325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  <c r="W276" s="131"/>
      <c r="X276" s="131"/>
      <c r="Y276" s="131"/>
      <c r="Z276" s="131"/>
    </row>
    <row r="277" spans="1:26" ht="15.75" customHeight="1" x14ac:dyDescent="0.25">
      <c r="A277" s="122" t="s">
        <v>541</v>
      </c>
      <c r="B277" s="346"/>
      <c r="C277" s="346"/>
      <c r="D277" s="346"/>
      <c r="E277" s="346"/>
      <c r="F277" s="345"/>
      <c r="G277" s="346"/>
      <c r="H277" s="325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  <c r="U277" s="131"/>
      <c r="V277" s="131"/>
      <c r="W277" s="131"/>
      <c r="X277" s="131"/>
      <c r="Y277" s="131"/>
      <c r="Z277" s="131"/>
    </row>
    <row r="278" spans="1:26" ht="15.75" customHeight="1" x14ac:dyDescent="0.25">
      <c r="A278" s="122" t="s">
        <v>393</v>
      </c>
      <c r="B278" s="346"/>
      <c r="C278" s="344">
        <f t="shared" ref="C278:D278" si="92">120</f>
        <v>120</v>
      </c>
      <c r="D278" s="344">
        <f t="shared" si="92"/>
        <v>120</v>
      </c>
      <c r="E278" s="346"/>
      <c r="F278" s="344">
        <f t="shared" ref="F278:G278" si="93">240</f>
        <v>240</v>
      </c>
      <c r="G278" s="344">
        <f t="shared" si="93"/>
        <v>240</v>
      </c>
      <c r="H278" s="325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  <c r="W278" s="131"/>
      <c r="X278" s="131"/>
      <c r="Y278" s="131"/>
      <c r="Z278" s="131"/>
    </row>
    <row r="279" spans="1:26" ht="15.75" customHeight="1" x14ac:dyDescent="0.25">
      <c r="A279" s="46" t="s">
        <v>396</v>
      </c>
      <c r="B279" s="323"/>
      <c r="C279" s="323"/>
      <c r="D279" s="323"/>
      <c r="E279" s="323"/>
      <c r="F279" s="328">
        <f t="shared" ref="F279:G279" si="94">81.11</f>
        <v>81.11</v>
      </c>
      <c r="G279" s="328">
        <f t="shared" si="94"/>
        <v>81.11</v>
      </c>
      <c r="H279" s="32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6" t="s">
        <v>398</v>
      </c>
      <c r="B280" s="328">
        <f>576.6</f>
        <v>576.6</v>
      </c>
      <c r="C280" s="328">
        <f>330.66</f>
        <v>330.66</v>
      </c>
      <c r="D280" s="328">
        <f>194.01</f>
        <v>194.01</v>
      </c>
      <c r="E280" s="328">
        <f>460.17</f>
        <v>460.17</v>
      </c>
      <c r="F280" s="328">
        <f>245.54</f>
        <v>245.54</v>
      </c>
      <c r="G280" s="323"/>
      <c r="H280" s="32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6" t="s">
        <v>608</v>
      </c>
      <c r="B281" s="323"/>
      <c r="C281" s="323"/>
      <c r="D281" s="323"/>
      <c r="E281" s="323"/>
      <c r="F281" s="324"/>
      <c r="G281" s="323"/>
      <c r="H281" s="32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22" t="s">
        <v>399</v>
      </c>
      <c r="B282" s="351">
        <f t="shared" ref="B282:G282" si="95">SUM(B279:B281)</f>
        <v>576.6</v>
      </c>
      <c r="C282" s="351">
        <f t="shared" si="95"/>
        <v>330.66</v>
      </c>
      <c r="D282" s="351">
        <f t="shared" si="95"/>
        <v>194.01</v>
      </c>
      <c r="E282" s="351">
        <f t="shared" si="95"/>
        <v>460.17</v>
      </c>
      <c r="F282" s="351">
        <f t="shared" si="95"/>
        <v>326.64999999999998</v>
      </c>
      <c r="G282" s="351">
        <f t="shared" si="95"/>
        <v>81.11</v>
      </c>
      <c r="H282" s="325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31"/>
      <c r="V282" s="131"/>
      <c r="W282" s="131"/>
      <c r="X282" s="131"/>
      <c r="Y282" s="131"/>
      <c r="Z282" s="131"/>
    </row>
    <row r="283" spans="1:26" ht="15.75" customHeight="1" x14ac:dyDescent="0.25">
      <c r="A283" s="122" t="s">
        <v>400</v>
      </c>
      <c r="B283" s="346"/>
      <c r="C283" s="344">
        <f>14.96</f>
        <v>14.96</v>
      </c>
      <c r="D283" s="346"/>
      <c r="E283" s="344">
        <f t="shared" ref="E283:F283" si="96">65</f>
        <v>65</v>
      </c>
      <c r="F283" s="344">
        <f t="shared" si="96"/>
        <v>65</v>
      </c>
      <c r="G283" s="346"/>
      <c r="H283" s="325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  <c r="U283" s="131"/>
      <c r="V283" s="131"/>
      <c r="W283" s="131"/>
      <c r="X283" s="131"/>
      <c r="Y283" s="131"/>
      <c r="Z283" s="131"/>
    </row>
    <row r="284" spans="1:26" ht="15.75" customHeight="1" x14ac:dyDescent="0.25">
      <c r="A284" s="122" t="s">
        <v>402</v>
      </c>
      <c r="B284" s="346"/>
      <c r="C284" s="346"/>
      <c r="D284" s="346"/>
      <c r="E284" s="344">
        <f>354</f>
        <v>354</v>
      </c>
      <c r="F284" s="344">
        <f>295</f>
        <v>295</v>
      </c>
      <c r="G284" s="346"/>
      <c r="H284" s="325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131"/>
      <c r="Y284" s="131"/>
      <c r="Z284" s="131"/>
    </row>
    <row r="285" spans="1:26" ht="15.75" customHeight="1" x14ac:dyDescent="0.25">
      <c r="A285" s="46" t="s">
        <v>403</v>
      </c>
      <c r="B285" s="323"/>
      <c r="C285" s="323"/>
      <c r="D285" s="323"/>
      <c r="E285" s="328">
        <f>101.71</f>
        <v>101.71</v>
      </c>
      <c r="F285" s="324"/>
      <c r="G285" s="323"/>
      <c r="H285" s="32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6" t="s">
        <v>404</v>
      </c>
      <c r="B286" s="323"/>
      <c r="C286" s="323"/>
      <c r="D286" s="323"/>
      <c r="E286" s="328">
        <f>44.92</f>
        <v>44.92</v>
      </c>
      <c r="F286" s="324"/>
      <c r="G286" s="323"/>
      <c r="H286" s="32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6" t="s">
        <v>405</v>
      </c>
      <c r="B287" s="323"/>
      <c r="C287" s="323"/>
      <c r="D287" s="323"/>
      <c r="E287" s="328">
        <f>1012.01</f>
        <v>1012.01</v>
      </c>
      <c r="F287" s="328">
        <f>1940</f>
        <v>1940</v>
      </c>
      <c r="G287" s="328">
        <f>1030</f>
        <v>1030</v>
      </c>
      <c r="H287" s="32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6" t="s">
        <v>406</v>
      </c>
      <c r="B288" s="323"/>
      <c r="C288" s="323"/>
      <c r="D288" s="323"/>
      <c r="E288" s="328">
        <f>1186.76</f>
        <v>1186.76</v>
      </c>
      <c r="F288" s="328">
        <f>987.16</f>
        <v>987.16</v>
      </c>
      <c r="G288" s="323"/>
      <c r="H288" s="32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22" t="s">
        <v>407</v>
      </c>
      <c r="B289" s="351">
        <f t="shared" ref="B289:G289" si="97">SUM(B285:B288)</f>
        <v>0</v>
      </c>
      <c r="C289" s="351">
        <f t="shared" si="97"/>
        <v>0</v>
      </c>
      <c r="D289" s="351">
        <f t="shared" si="97"/>
        <v>0</v>
      </c>
      <c r="E289" s="351">
        <f t="shared" si="97"/>
        <v>2345.3999999999996</v>
      </c>
      <c r="F289" s="351">
        <f t="shared" si="97"/>
        <v>2927.16</v>
      </c>
      <c r="G289" s="351">
        <f t="shared" si="97"/>
        <v>1030</v>
      </c>
      <c r="H289" s="325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  <c r="U289" s="131"/>
      <c r="V289" s="131"/>
      <c r="W289" s="131"/>
      <c r="X289" s="131"/>
      <c r="Y289" s="131"/>
      <c r="Z289" s="131"/>
    </row>
    <row r="290" spans="1:26" ht="15.75" customHeight="1" x14ac:dyDescent="0.25">
      <c r="A290" s="122" t="s">
        <v>408</v>
      </c>
      <c r="B290" s="346"/>
      <c r="C290" s="346"/>
      <c r="D290" s="344">
        <f>860</f>
        <v>860</v>
      </c>
      <c r="E290" s="346"/>
      <c r="F290" s="344">
        <f t="shared" ref="F290:G290" si="98">2850.24</f>
        <v>2850.24</v>
      </c>
      <c r="G290" s="344">
        <f t="shared" si="98"/>
        <v>2850.24</v>
      </c>
      <c r="H290" s="325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  <c r="U290" s="131"/>
      <c r="V290" s="131"/>
      <c r="W290" s="131"/>
      <c r="X290" s="131"/>
      <c r="Y290" s="131"/>
      <c r="Z290" s="131"/>
    </row>
    <row r="291" spans="1:26" ht="15.75" customHeight="1" x14ac:dyDescent="0.25">
      <c r="A291" s="217" t="s">
        <v>409</v>
      </c>
      <c r="B291" s="354">
        <f t="shared" ref="B291:G291" si="99">SUM(B271:B273)+SUM(B276:B278)+SUM(B282:B284)+SUM(B289:B290)</f>
        <v>1041.5700000000002</v>
      </c>
      <c r="C291" s="354">
        <f t="shared" si="99"/>
        <v>1231.67</v>
      </c>
      <c r="D291" s="354">
        <f t="shared" si="99"/>
        <v>1983.67</v>
      </c>
      <c r="E291" s="354">
        <f t="shared" si="99"/>
        <v>7109.27</v>
      </c>
      <c r="F291" s="354">
        <f t="shared" si="99"/>
        <v>7078.73</v>
      </c>
      <c r="G291" s="354">
        <f t="shared" si="99"/>
        <v>4331.55</v>
      </c>
      <c r="H291" s="325"/>
      <c r="I291" s="224"/>
      <c r="J291" s="224"/>
      <c r="K291" s="224"/>
      <c r="L291" s="224"/>
      <c r="M291" s="224"/>
      <c r="N291" s="224"/>
      <c r="O291" s="224"/>
      <c r="P291" s="224"/>
      <c r="Q291" s="224"/>
      <c r="R291" s="224"/>
      <c r="S291" s="224"/>
      <c r="T291" s="224"/>
      <c r="U291" s="224"/>
      <c r="V291" s="224"/>
      <c r="W291" s="224"/>
      <c r="X291" s="224"/>
      <c r="Y291" s="224"/>
      <c r="Z291" s="224"/>
    </row>
    <row r="292" spans="1:26" ht="15.75" customHeight="1" x14ac:dyDescent="0.25">
      <c r="A292" s="20"/>
      <c r="B292" s="328"/>
      <c r="C292" s="323"/>
      <c r="D292" s="323"/>
      <c r="E292" s="323"/>
      <c r="F292" s="328"/>
      <c r="G292" s="328"/>
      <c r="H292" s="32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22" t="s">
        <v>410</v>
      </c>
      <c r="B293" s="344">
        <f>304.23</f>
        <v>304.23</v>
      </c>
      <c r="C293" s="346"/>
      <c r="D293" s="346"/>
      <c r="E293" s="346"/>
      <c r="F293" s="344">
        <f t="shared" ref="F293:G293" si="100">57.57</f>
        <v>57.57</v>
      </c>
      <c r="G293" s="344">
        <f t="shared" si="100"/>
        <v>57.57</v>
      </c>
      <c r="H293" s="325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  <c r="U293" s="131"/>
      <c r="V293" s="131"/>
      <c r="W293" s="131"/>
      <c r="X293" s="131"/>
      <c r="Y293" s="131"/>
      <c r="Z293" s="131"/>
    </row>
    <row r="294" spans="1:26" ht="15.75" customHeight="1" x14ac:dyDescent="0.25">
      <c r="A294" s="122" t="s">
        <v>609</v>
      </c>
      <c r="B294" s="346"/>
      <c r="C294" s="346"/>
      <c r="D294" s="346"/>
      <c r="E294" s="346"/>
      <c r="F294" s="345"/>
      <c r="G294" s="346"/>
      <c r="H294" s="325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  <c r="W294" s="131"/>
      <c r="X294" s="131"/>
      <c r="Y294" s="131"/>
      <c r="Z294" s="131"/>
    </row>
    <row r="295" spans="1:26" ht="15.75" customHeight="1" x14ac:dyDescent="0.25">
      <c r="A295" s="122" t="s">
        <v>411</v>
      </c>
      <c r="B295" s="346"/>
      <c r="C295" s="344">
        <f>323.89</f>
        <v>323.89</v>
      </c>
      <c r="D295" s="344">
        <f>193.69</f>
        <v>193.69</v>
      </c>
      <c r="E295" s="346"/>
      <c r="F295" s="345"/>
      <c r="G295" s="346"/>
      <c r="H295" s="325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  <c r="U295" s="131"/>
      <c r="V295" s="131"/>
      <c r="W295" s="131"/>
      <c r="X295" s="131"/>
      <c r="Y295" s="131"/>
      <c r="Z295" s="131"/>
    </row>
    <row r="296" spans="1:26" ht="15.75" customHeight="1" x14ac:dyDescent="0.25">
      <c r="A296" s="46" t="s">
        <v>412</v>
      </c>
      <c r="B296" s="328">
        <f>127.55</f>
        <v>127.55</v>
      </c>
      <c r="C296" s="323"/>
      <c r="D296" s="323"/>
      <c r="E296" s="323"/>
      <c r="F296" s="324"/>
      <c r="G296" s="323"/>
      <c r="H296" s="32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6" t="s">
        <v>413</v>
      </c>
      <c r="B297" s="328">
        <f>8.98</f>
        <v>8.98</v>
      </c>
      <c r="C297" s="328">
        <f>79.06</f>
        <v>79.06</v>
      </c>
      <c r="D297" s="328">
        <f>108.06</f>
        <v>108.06</v>
      </c>
      <c r="E297" s="328">
        <f>35.5</f>
        <v>35.5</v>
      </c>
      <c r="F297" s="328">
        <f>103.1</f>
        <v>103.1</v>
      </c>
      <c r="G297" s="328">
        <f>86.1</f>
        <v>86.1</v>
      </c>
      <c r="H297" s="32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6" t="s">
        <v>414</v>
      </c>
      <c r="B298" s="323"/>
      <c r="C298" s="328">
        <f>165.33</f>
        <v>165.33</v>
      </c>
      <c r="D298" s="323"/>
      <c r="E298" s="323"/>
      <c r="F298" s="324"/>
      <c r="G298" s="323"/>
      <c r="H298" s="32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6" t="s">
        <v>415</v>
      </c>
      <c r="B299" s="323"/>
      <c r="C299" s="328">
        <f>271.01</f>
        <v>271.01</v>
      </c>
      <c r="D299" s="328">
        <f>586.22</f>
        <v>586.22</v>
      </c>
      <c r="E299" s="328">
        <f>1186.48</f>
        <v>1186.48</v>
      </c>
      <c r="F299" s="328">
        <f>220.48</f>
        <v>220.48</v>
      </c>
      <c r="G299" s="328">
        <f>213.29</f>
        <v>213.29</v>
      </c>
      <c r="H299" s="32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6" t="s">
        <v>416</v>
      </c>
      <c r="B300" s="323"/>
      <c r="C300" s="328">
        <f>625</f>
        <v>625</v>
      </c>
      <c r="D300" s="328">
        <f>539.5</f>
        <v>539.5</v>
      </c>
      <c r="E300" s="328">
        <f>275</f>
        <v>275</v>
      </c>
      <c r="F300" s="324"/>
      <c r="G300" s="323"/>
      <c r="H300" s="32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22" t="s">
        <v>417</v>
      </c>
      <c r="B301" s="351">
        <f t="shared" ref="B301:G301" si="101">SUM(B296:B300)</f>
        <v>136.53</v>
      </c>
      <c r="C301" s="351">
        <f t="shared" si="101"/>
        <v>1140.4000000000001</v>
      </c>
      <c r="D301" s="351">
        <f t="shared" si="101"/>
        <v>1233.78</v>
      </c>
      <c r="E301" s="351">
        <f t="shared" si="101"/>
        <v>1496.98</v>
      </c>
      <c r="F301" s="351">
        <f t="shared" si="101"/>
        <v>323.58</v>
      </c>
      <c r="G301" s="351">
        <f t="shared" si="101"/>
        <v>299.39</v>
      </c>
      <c r="H301" s="325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  <c r="U301" s="131"/>
      <c r="V301" s="131"/>
      <c r="W301" s="131"/>
      <c r="X301" s="131"/>
      <c r="Y301" s="131"/>
      <c r="Z301" s="131"/>
    </row>
    <row r="302" spans="1:26" ht="15.75" customHeight="1" x14ac:dyDescent="0.25">
      <c r="A302" s="46" t="s">
        <v>418</v>
      </c>
      <c r="B302" s="323"/>
      <c r="C302" s="323"/>
      <c r="D302" s="323"/>
      <c r="E302" s="323"/>
      <c r="F302" s="324"/>
      <c r="G302" s="323"/>
      <c r="H302" s="32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6" t="s">
        <v>610</v>
      </c>
      <c r="B303" s="323"/>
      <c r="C303" s="323"/>
      <c r="D303" s="323"/>
      <c r="E303" s="323"/>
      <c r="F303" s="324"/>
      <c r="G303" s="323"/>
      <c r="H303" s="32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6" t="s">
        <v>419</v>
      </c>
      <c r="B304" s="323"/>
      <c r="C304" s="323"/>
      <c r="D304" s="323"/>
      <c r="E304" s="328">
        <f>16.82</f>
        <v>16.82</v>
      </c>
      <c r="F304" s="324"/>
      <c r="G304" s="323"/>
      <c r="H304" s="32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6" t="s">
        <v>420</v>
      </c>
      <c r="B305" s="323"/>
      <c r="C305" s="328">
        <f>14.23</f>
        <v>14.23</v>
      </c>
      <c r="D305" s="323"/>
      <c r="E305" s="323"/>
      <c r="F305" s="328">
        <f t="shared" ref="F305:G305" si="102">18</f>
        <v>18</v>
      </c>
      <c r="G305" s="328">
        <f t="shared" si="102"/>
        <v>18</v>
      </c>
      <c r="H305" s="32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6" t="s">
        <v>421</v>
      </c>
      <c r="B306" s="323"/>
      <c r="C306" s="328">
        <f>229.5</f>
        <v>229.5</v>
      </c>
      <c r="D306" s="328">
        <f>2257.8</f>
        <v>2257.8000000000002</v>
      </c>
      <c r="E306" s="328">
        <f>17.17</f>
        <v>17.170000000000002</v>
      </c>
      <c r="F306" s="324"/>
      <c r="G306" s="323"/>
      <c r="H306" s="32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6" t="s">
        <v>425</v>
      </c>
      <c r="B307" s="323"/>
      <c r="C307" s="323"/>
      <c r="D307" s="323"/>
      <c r="E307" s="323"/>
      <c r="F307" s="324"/>
      <c r="G307" s="323"/>
      <c r="H307" s="32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6" t="s">
        <v>428</v>
      </c>
      <c r="B308" s="323"/>
      <c r="C308" s="323"/>
      <c r="D308" s="323"/>
      <c r="E308" s="328">
        <f>11.93</f>
        <v>11.93</v>
      </c>
      <c r="F308" s="328">
        <f t="shared" ref="F308:G308" si="103">6.17</f>
        <v>6.17</v>
      </c>
      <c r="G308" s="328">
        <f t="shared" si="103"/>
        <v>6.17</v>
      </c>
      <c r="H308" s="32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6" t="s">
        <v>430</v>
      </c>
      <c r="B309" s="323"/>
      <c r="C309" s="323"/>
      <c r="D309" s="328">
        <f>95.38</f>
        <v>95.38</v>
      </c>
      <c r="E309" s="323"/>
      <c r="F309" s="324"/>
      <c r="G309" s="323"/>
      <c r="H309" s="32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6" t="s">
        <v>431</v>
      </c>
      <c r="B310" s="323"/>
      <c r="C310" s="323"/>
      <c r="D310" s="323"/>
      <c r="E310" s="323"/>
      <c r="F310" s="324"/>
      <c r="G310" s="323"/>
      <c r="H310" s="32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22" t="s">
        <v>433</v>
      </c>
      <c r="B311" s="351">
        <f t="shared" ref="B311:G311" si="104">SUM(B302:B310)</f>
        <v>0</v>
      </c>
      <c r="C311" s="351">
        <f t="shared" si="104"/>
        <v>243.73</v>
      </c>
      <c r="D311" s="351">
        <f t="shared" si="104"/>
        <v>2353.1800000000003</v>
      </c>
      <c r="E311" s="351">
        <f t="shared" si="104"/>
        <v>45.92</v>
      </c>
      <c r="F311" s="351">
        <f t="shared" si="104"/>
        <v>24.17</v>
      </c>
      <c r="G311" s="351">
        <f t="shared" si="104"/>
        <v>24.17</v>
      </c>
      <c r="H311" s="325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  <c r="U311" s="131"/>
      <c r="V311" s="131"/>
      <c r="W311" s="131"/>
      <c r="X311" s="131"/>
      <c r="Y311" s="131"/>
      <c r="Z311" s="131"/>
    </row>
    <row r="312" spans="1:26" ht="15.75" customHeight="1" x14ac:dyDescent="0.25">
      <c r="A312" s="46" t="s">
        <v>434</v>
      </c>
      <c r="B312" s="323"/>
      <c r="C312" s="323"/>
      <c r="D312" s="323"/>
      <c r="E312" s="323"/>
      <c r="F312" s="324"/>
      <c r="G312" s="323"/>
      <c r="H312" s="32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6" t="s">
        <v>435</v>
      </c>
      <c r="B313" s="323"/>
      <c r="C313" s="328">
        <f>630</f>
        <v>630</v>
      </c>
      <c r="D313" s="328">
        <f>214.77</f>
        <v>214.77</v>
      </c>
      <c r="E313" s="323"/>
      <c r="F313" s="324"/>
      <c r="G313" s="323"/>
      <c r="H313" s="32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6" t="s">
        <v>436</v>
      </c>
      <c r="B314" s="323"/>
      <c r="C314" s="328">
        <f>293.76</f>
        <v>293.76</v>
      </c>
      <c r="D314" s="328">
        <f>336</f>
        <v>336</v>
      </c>
      <c r="E314" s="323"/>
      <c r="F314" s="324"/>
      <c r="G314" s="323"/>
      <c r="H314" s="32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6" t="s">
        <v>439</v>
      </c>
      <c r="B315" s="328">
        <f>491.81</f>
        <v>491.81</v>
      </c>
      <c r="C315" s="328">
        <f>473.64</f>
        <v>473.64</v>
      </c>
      <c r="D315" s="328">
        <f>475.37</f>
        <v>475.37</v>
      </c>
      <c r="E315" s="328">
        <f>367.46</f>
        <v>367.46</v>
      </c>
      <c r="F315" s="328">
        <f>156.71</f>
        <v>156.71</v>
      </c>
      <c r="G315" s="328">
        <f>44.71</f>
        <v>44.71</v>
      </c>
      <c r="H315" s="32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6" t="s">
        <v>611</v>
      </c>
      <c r="B316" s="323"/>
      <c r="C316" s="323"/>
      <c r="D316" s="323"/>
      <c r="E316" s="323"/>
      <c r="F316" s="324"/>
      <c r="G316" s="323"/>
      <c r="H316" s="32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6" t="s">
        <v>442</v>
      </c>
      <c r="B317" s="328">
        <f>86</f>
        <v>86</v>
      </c>
      <c r="C317" s="328">
        <f>129.5</f>
        <v>129.5</v>
      </c>
      <c r="D317" s="328">
        <f>154.25</f>
        <v>154.25</v>
      </c>
      <c r="E317" s="328">
        <f>17.16</f>
        <v>17.16</v>
      </c>
      <c r="F317" s="328">
        <f t="shared" ref="F317:G317" si="105">15.58</f>
        <v>15.58</v>
      </c>
      <c r="G317" s="328">
        <f t="shared" si="105"/>
        <v>15.58</v>
      </c>
      <c r="H317" s="32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6" t="s">
        <v>444</v>
      </c>
      <c r="B318" s="323"/>
      <c r="C318" s="323"/>
      <c r="D318" s="323"/>
      <c r="E318" s="328">
        <f>11.94</f>
        <v>11.94</v>
      </c>
      <c r="F318" s="328">
        <f t="shared" ref="F318:G318" si="106">6.17</f>
        <v>6.17</v>
      </c>
      <c r="G318" s="328">
        <f t="shared" si="106"/>
        <v>6.17</v>
      </c>
      <c r="H318" s="32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6" t="s">
        <v>445</v>
      </c>
      <c r="B319" s="323"/>
      <c r="C319" s="323"/>
      <c r="D319" s="328">
        <f>95.38</f>
        <v>95.38</v>
      </c>
      <c r="E319" s="323"/>
      <c r="F319" s="324"/>
      <c r="G319" s="323"/>
      <c r="H319" s="32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22" t="s">
        <v>446</v>
      </c>
      <c r="B320" s="351">
        <f t="shared" ref="B320:G320" si="107">SUM(B312:B319)</f>
        <v>577.80999999999995</v>
      </c>
      <c r="C320" s="351">
        <f t="shared" si="107"/>
        <v>1526.9</v>
      </c>
      <c r="D320" s="351">
        <f t="shared" si="107"/>
        <v>1275.77</v>
      </c>
      <c r="E320" s="351">
        <f t="shared" si="107"/>
        <v>396.56</v>
      </c>
      <c r="F320" s="351">
        <f t="shared" si="107"/>
        <v>178.46</v>
      </c>
      <c r="G320" s="351">
        <f t="shared" si="107"/>
        <v>66.459999999999994</v>
      </c>
      <c r="H320" s="325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  <c r="U320" s="131"/>
      <c r="V320" s="131"/>
      <c r="W320" s="131"/>
      <c r="X320" s="131"/>
      <c r="Y320" s="131"/>
      <c r="Z320" s="131"/>
    </row>
    <row r="321" spans="1:26" ht="15.75" customHeight="1" x14ac:dyDescent="0.25">
      <c r="A321" s="46" t="s">
        <v>447</v>
      </c>
      <c r="B321" s="323"/>
      <c r="C321" s="323"/>
      <c r="D321" s="323"/>
      <c r="E321" s="323"/>
      <c r="F321" s="324"/>
      <c r="G321" s="323"/>
      <c r="H321" s="32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6" t="s">
        <v>448</v>
      </c>
      <c r="B322" s="323"/>
      <c r="C322" s="323"/>
      <c r="D322" s="328">
        <f>36.51</f>
        <v>36.51</v>
      </c>
      <c r="E322" s="328">
        <f>180.06</f>
        <v>180.06</v>
      </c>
      <c r="F322" s="328">
        <f>543.69</f>
        <v>543.69000000000005</v>
      </c>
      <c r="G322" s="328">
        <f>363.63</f>
        <v>363.63</v>
      </c>
      <c r="H322" s="32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6" t="s">
        <v>449</v>
      </c>
      <c r="B323" s="328">
        <f>10.59</f>
        <v>10.59</v>
      </c>
      <c r="C323" s="323"/>
      <c r="D323" s="328">
        <f>364.09</f>
        <v>364.09</v>
      </c>
      <c r="E323" s="328">
        <f>521.44</f>
        <v>521.44000000000005</v>
      </c>
      <c r="F323" s="324"/>
      <c r="G323" s="323"/>
      <c r="H323" s="32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6" t="s">
        <v>451</v>
      </c>
      <c r="B324" s="328">
        <f>35.6</f>
        <v>35.6</v>
      </c>
      <c r="C324" s="323"/>
      <c r="D324" s="328">
        <f>50.59</f>
        <v>50.59</v>
      </c>
      <c r="E324" s="323"/>
      <c r="F324" s="324"/>
      <c r="G324" s="323"/>
      <c r="H324" s="32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6" t="s">
        <v>452</v>
      </c>
      <c r="B325" s="328">
        <f>2396.51</f>
        <v>2396.5100000000002</v>
      </c>
      <c r="C325" s="328">
        <f>1995.03</f>
        <v>1995.03</v>
      </c>
      <c r="D325" s="328">
        <f>4061.84</f>
        <v>4061.84</v>
      </c>
      <c r="E325" s="328">
        <f>4021.21</f>
        <v>4021.21</v>
      </c>
      <c r="F325" s="328">
        <f>2605.28</f>
        <v>2605.2800000000002</v>
      </c>
      <c r="G325" s="328">
        <f>264.98</f>
        <v>264.98</v>
      </c>
      <c r="H325" s="32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6" t="s">
        <v>455</v>
      </c>
      <c r="B326" s="328">
        <f>246.47</f>
        <v>246.47</v>
      </c>
      <c r="C326" s="328">
        <f>401.67</f>
        <v>401.67</v>
      </c>
      <c r="D326" s="328">
        <f>615.74</f>
        <v>615.74</v>
      </c>
      <c r="E326" s="328">
        <f>924.86</f>
        <v>924.86</v>
      </c>
      <c r="F326" s="328">
        <f>914.48</f>
        <v>914.48</v>
      </c>
      <c r="G326" s="323"/>
      <c r="H326" s="32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6" t="s">
        <v>456</v>
      </c>
      <c r="B327" s="328">
        <f>142.05</f>
        <v>142.05000000000001</v>
      </c>
      <c r="C327" s="328">
        <f>60.86</f>
        <v>60.86</v>
      </c>
      <c r="D327" s="328">
        <f>131.11</f>
        <v>131.11000000000001</v>
      </c>
      <c r="E327" s="323"/>
      <c r="F327" s="328">
        <f t="shared" ref="F327:G327" si="108">39.67</f>
        <v>39.67</v>
      </c>
      <c r="G327" s="328">
        <f t="shared" si="108"/>
        <v>39.67</v>
      </c>
      <c r="H327" s="32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6" t="s">
        <v>457</v>
      </c>
      <c r="B328" s="328">
        <f>232.81</f>
        <v>232.81</v>
      </c>
      <c r="C328" s="328">
        <f>119.97</f>
        <v>119.97</v>
      </c>
      <c r="D328" s="328">
        <f>322.52</f>
        <v>322.52</v>
      </c>
      <c r="E328" s="328">
        <f>85.61</f>
        <v>85.61</v>
      </c>
      <c r="F328" s="324"/>
      <c r="G328" s="323"/>
      <c r="H328" s="32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6" t="s">
        <v>458</v>
      </c>
      <c r="B329" s="323"/>
      <c r="C329" s="328">
        <f>80.86</f>
        <v>80.86</v>
      </c>
      <c r="D329" s="328">
        <f>345.61</f>
        <v>345.61</v>
      </c>
      <c r="E329" s="328">
        <f>252.99</f>
        <v>252.99</v>
      </c>
      <c r="F329" s="324"/>
      <c r="G329" s="323"/>
      <c r="H329" s="32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22" t="s">
        <v>459</v>
      </c>
      <c r="B330" s="351">
        <f t="shared" ref="B330:G330" si="109">SUM(B321:B329)</f>
        <v>3064.03</v>
      </c>
      <c r="C330" s="351">
        <f t="shared" si="109"/>
        <v>2658.39</v>
      </c>
      <c r="D330" s="351">
        <f t="shared" si="109"/>
        <v>5928.0099999999993</v>
      </c>
      <c r="E330" s="351">
        <f t="shared" si="109"/>
        <v>5986.1699999999992</v>
      </c>
      <c r="F330" s="351">
        <f t="shared" si="109"/>
        <v>4103.12</v>
      </c>
      <c r="G330" s="351">
        <f t="shared" si="109"/>
        <v>668.28</v>
      </c>
      <c r="H330" s="325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  <c r="U330" s="131"/>
      <c r="V330" s="131"/>
      <c r="W330" s="131"/>
      <c r="X330" s="131"/>
      <c r="Y330" s="131"/>
      <c r="Z330" s="131"/>
    </row>
    <row r="331" spans="1:26" ht="15.75" customHeight="1" x14ac:dyDescent="0.25">
      <c r="A331" s="122" t="s">
        <v>460</v>
      </c>
      <c r="B331" s="344">
        <f>40.59</f>
        <v>40.590000000000003</v>
      </c>
      <c r="C331" s="344">
        <f>221.19</f>
        <v>221.19</v>
      </c>
      <c r="D331" s="344">
        <f>246.59</f>
        <v>246.59</v>
      </c>
      <c r="E331" s="344">
        <f>135.75</f>
        <v>135.75</v>
      </c>
      <c r="F331" s="344">
        <f t="shared" ref="F331:G331" si="110">85.96</f>
        <v>85.96</v>
      </c>
      <c r="G331" s="344">
        <f t="shared" si="110"/>
        <v>85.96</v>
      </c>
      <c r="H331" s="325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  <c r="U331" s="131"/>
      <c r="V331" s="131"/>
      <c r="W331" s="131"/>
      <c r="X331" s="131"/>
      <c r="Y331" s="131"/>
      <c r="Z331" s="131"/>
    </row>
    <row r="332" spans="1:26" ht="15.75" customHeight="1" x14ac:dyDescent="0.25">
      <c r="A332" s="122" t="s">
        <v>612</v>
      </c>
      <c r="B332" s="346"/>
      <c r="C332" s="346"/>
      <c r="D332" s="346"/>
      <c r="E332" s="346"/>
      <c r="F332" s="345"/>
      <c r="G332" s="346"/>
      <c r="H332" s="325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  <c r="U332" s="131"/>
      <c r="V332" s="131"/>
      <c r="W332" s="131"/>
      <c r="X332" s="131"/>
      <c r="Y332" s="131"/>
      <c r="Z332" s="131"/>
    </row>
    <row r="333" spans="1:26" ht="15.75" customHeight="1" x14ac:dyDescent="0.25">
      <c r="A333" s="217" t="s">
        <v>462</v>
      </c>
      <c r="B333" s="354">
        <f t="shared" ref="B333:G333" si="111">((((((((B293)+(B294))+(B295))+(B301))+(B311))+(B320))+(B330))+(B331))+(B332)</f>
        <v>4123.1900000000005</v>
      </c>
      <c r="C333" s="354">
        <f t="shared" si="111"/>
        <v>6114.4999999999991</v>
      </c>
      <c r="D333" s="354">
        <f t="shared" si="111"/>
        <v>11231.02</v>
      </c>
      <c r="E333" s="354">
        <f t="shared" si="111"/>
        <v>8061.3799999999992</v>
      </c>
      <c r="F333" s="354">
        <f t="shared" si="111"/>
        <v>4772.8599999999997</v>
      </c>
      <c r="G333" s="354">
        <f t="shared" si="111"/>
        <v>1201.83</v>
      </c>
      <c r="H333" s="325"/>
      <c r="I333" s="224"/>
      <c r="J333" s="224"/>
      <c r="K333" s="224"/>
      <c r="L333" s="224"/>
      <c r="M333" s="224"/>
      <c r="N333" s="224"/>
      <c r="O333" s="224"/>
      <c r="P333" s="224"/>
      <c r="Q333" s="224"/>
      <c r="R333" s="224"/>
      <c r="S333" s="224"/>
      <c r="T333" s="224"/>
      <c r="U333" s="224"/>
      <c r="V333" s="224"/>
      <c r="W333" s="224"/>
      <c r="X333" s="224"/>
      <c r="Y333" s="224"/>
      <c r="Z333" s="224"/>
    </row>
    <row r="334" spans="1:26" ht="15.75" customHeight="1" x14ac:dyDescent="0.25">
      <c r="A334" s="20"/>
      <c r="B334" s="328"/>
      <c r="C334" s="323"/>
      <c r="D334" s="323"/>
      <c r="E334" s="323"/>
      <c r="F334" s="324"/>
      <c r="G334" s="323"/>
      <c r="H334" s="32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22" t="s">
        <v>463</v>
      </c>
      <c r="B335" s="344">
        <f>122.02</f>
        <v>122.02</v>
      </c>
      <c r="C335" s="346"/>
      <c r="D335" s="346"/>
      <c r="E335" s="346"/>
      <c r="F335" s="345"/>
      <c r="G335" s="346"/>
      <c r="H335" s="325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  <c r="U335" s="131"/>
      <c r="V335" s="131"/>
      <c r="W335" s="131"/>
      <c r="X335" s="131"/>
      <c r="Y335" s="131"/>
      <c r="Z335" s="131"/>
    </row>
    <row r="336" spans="1:26" ht="15.75" customHeight="1" x14ac:dyDescent="0.25">
      <c r="A336" s="122" t="s">
        <v>464</v>
      </c>
      <c r="B336" s="344">
        <f>61.39</f>
        <v>61.39</v>
      </c>
      <c r="C336" s="344">
        <f>222</f>
        <v>222</v>
      </c>
      <c r="D336" s="344">
        <f>62.32</f>
        <v>62.32</v>
      </c>
      <c r="E336" s="344">
        <f>216.83</f>
        <v>216.83</v>
      </c>
      <c r="F336" s="344">
        <f>91.44</f>
        <v>91.44</v>
      </c>
      <c r="G336" s="344">
        <f>78.96</f>
        <v>78.959999999999994</v>
      </c>
      <c r="H336" s="325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  <c r="U336" s="131"/>
      <c r="V336" s="131"/>
      <c r="W336" s="131"/>
      <c r="X336" s="131"/>
      <c r="Y336" s="131"/>
      <c r="Z336" s="131"/>
    </row>
    <row r="337" spans="1:26" ht="15.75" customHeight="1" x14ac:dyDescent="0.25">
      <c r="A337" s="122" t="s">
        <v>466</v>
      </c>
      <c r="B337" s="346"/>
      <c r="C337" s="344">
        <f>378.1</f>
        <v>378.1</v>
      </c>
      <c r="D337" s="344">
        <f>821.35</f>
        <v>821.35</v>
      </c>
      <c r="E337" s="344">
        <f>536.4</f>
        <v>536.4</v>
      </c>
      <c r="F337" s="344">
        <f>240.55</f>
        <v>240.55</v>
      </c>
      <c r="G337" s="344">
        <f>108.59</f>
        <v>108.59</v>
      </c>
      <c r="H337" s="325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  <c r="U337" s="131"/>
      <c r="V337" s="131"/>
      <c r="W337" s="131"/>
      <c r="X337" s="131"/>
      <c r="Y337" s="131"/>
      <c r="Z337" s="131"/>
    </row>
    <row r="338" spans="1:26" ht="15.75" customHeight="1" x14ac:dyDescent="0.25">
      <c r="A338" s="122" t="s">
        <v>467</v>
      </c>
      <c r="B338" s="344">
        <v>175.74</v>
      </c>
      <c r="C338" s="344">
        <v>787.08</v>
      </c>
      <c r="D338" s="344">
        <v>281.07</v>
      </c>
      <c r="E338" s="344">
        <v>1208</v>
      </c>
      <c r="F338" s="344">
        <v>64.099999999999994</v>
      </c>
      <c r="G338" s="344">
        <v>59.1</v>
      </c>
      <c r="H338" s="325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  <c r="U338" s="131"/>
      <c r="V338" s="131"/>
      <c r="W338" s="131"/>
      <c r="X338" s="131"/>
      <c r="Y338" s="131"/>
      <c r="Z338" s="131"/>
    </row>
    <row r="339" spans="1:26" ht="15.75" customHeight="1" x14ac:dyDescent="0.25">
      <c r="A339" s="122" t="s">
        <v>469</v>
      </c>
      <c r="B339" s="346"/>
      <c r="C339" s="344">
        <f t="shared" ref="C339:G339" si="112">22.5</f>
        <v>22.5</v>
      </c>
      <c r="D339" s="344">
        <f t="shared" si="112"/>
        <v>22.5</v>
      </c>
      <c r="E339" s="344">
        <f t="shared" si="112"/>
        <v>22.5</v>
      </c>
      <c r="F339" s="344">
        <f t="shared" si="112"/>
        <v>22.5</v>
      </c>
      <c r="G339" s="344">
        <f t="shared" si="112"/>
        <v>22.5</v>
      </c>
      <c r="H339" s="325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  <c r="U339" s="131"/>
      <c r="V339" s="131"/>
      <c r="W339" s="131"/>
      <c r="X339" s="131"/>
      <c r="Y339" s="131"/>
      <c r="Z339" s="131"/>
    </row>
    <row r="340" spans="1:26" ht="15.75" customHeight="1" x14ac:dyDescent="0.25">
      <c r="A340" s="217" t="s">
        <v>470</v>
      </c>
      <c r="B340" s="354">
        <f t="shared" ref="B340:G340" si="113">SUM(B335:B339)</f>
        <v>359.15</v>
      </c>
      <c r="C340" s="354">
        <f t="shared" si="113"/>
        <v>1409.68</v>
      </c>
      <c r="D340" s="354">
        <f t="shared" si="113"/>
        <v>1187.24</v>
      </c>
      <c r="E340" s="354">
        <f t="shared" si="113"/>
        <v>1983.73</v>
      </c>
      <c r="F340" s="354">
        <f t="shared" si="113"/>
        <v>418.59000000000003</v>
      </c>
      <c r="G340" s="354">
        <f t="shared" si="113"/>
        <v>269.14999999999998</v>
      </c>
      <c r="H340" s="325"/>
      <c r="I340" s="224"/>
      <c r="J340" s="224"/>
      <c r="K340" s="224"/>
      <c r="L340" s="224"/>
      <c r="M340" s="224"/>
      <c r="N340" s="224"/>
      <c r="O340" s="224"/>
      <c r="P340" s="224"/>
      <c r="Q340" s="224"/>
      <c r="R340" s="224"/>
      <c r="S340" s="224"/>
      <c r="T340" s="224"/>
      <c r="U340" s="224"/>
      <c r="V340" s="224"/>
      <c r="W340" s="224"/>
      <c r="X340" s="224"/>
      <c r="Y340" s="224"/>
      <c r="Z340" s="224"/>
    </row>
    <row r="341" spans="1:26" ht="15.75" customHeight="1" x14ac:dyDescent="0.25">
      <c r="A341" s="20"/>
      <c r="B341" s="323"/>
      <c r="C341" s="323"/>
      <c r="D341" s="323"/>
      <c r="E341" s="323"/>
      <c r="F341" s="324"/>
      <c r="G341" s="323"/>
      <c r="H341" s="32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8" t="s">
        <v>471</v>
      </c>
      <c r="B342" s="326"/>
      <c r="C342" s="326"/>
      <c r="D342" s="326"/>
      <c r="E342" s="326"/>
      <c r="F342" s="327"/>
      <c r="G342" s="326"/>
      <c r="H342" s="325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5.75" customHeight="1" x14ac:dyDescent="0.25">
      <c r="A343" s="48" t="s">
        <v>472</v>
      </c>
      <c r="B343" s="326"/>
      <c r="C343" s="326"/>
      <c r="D343" s="326"/>
      <c r="E343" s="326"/>
      <c r="F343" s="332">
        <f>4000</f>
        <v>4000</v>
      </c>
      <c r="G343" s="332">
        <f>6000</f>
        <v>6000</v>
      </c>
      <c r="H343" s="325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5.75" customHeight="1" x14ac:dyDescent="0.25">
      <c r="A344" s="48" t="s">
        <v>475</v>
      </c>
      <c r="B344" s="326"/>
      <c r="C344" s="332">
        <f>343.36</f>
        <v>343.36</v>
      </c>
      <c r="D344" s="326"/>
      <c r="E344" s="326"/>
      <c r="F344" s="327"/>
      <c r="G344" s="326"/>
      <c r="H344" s="325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5.75" customHeight="1" x14ac:dyDescent="0.25">
      <c r="A345" s="48" t="s">
        <v>478</v>
      </c>
      <c r="B345" s="326"/>
      <c r="C345" s="332">
        <f>37.46</f>
        <v>37.46</v>
      </c>
      <c r="D345" s="326"/>
      <c r="E345" s="326"/>
      <c r="F345" s="327"/>
      <c r="G345" s="326"/>
      <c r="H345" s="325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5.75" customHeight="1" x14ac:dyDescent="0.25">
      <c r="A346" s="48" t="s">
        <v>613</v>
      </c>
      <c r="B346" s="326"/>
      <c r="C346" s="326"/>
      <c r="D346" s="326"/>
      <c r="E346" s="326"/>
      <c r="F346" s="327"/>
      <c r="G346" s="326"/>
      <c r="H346" s="325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5.75" customHeight="1" x14ac:dyDescent="0.25">
      <c r="A347" s="48" t="s">
        <v>479</v>
      </c>
      <c r="B347" s="326"/>
      <c r="C347" s="332">
        <f>200</f>
        <v>200</v>
      </c>
      <c r="D347" s="326"/>
      <c r="E347" s="326"/>
      <c r="F347" s="327"/>
      <c r="G347" s="326"/>
      <c r="H347" s="325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5.75" customHeight="1" x14ac:dyDescent="0.25">
      <c r="A348" s="48" t="s">
        <v>480</v>
      </c>
      <c r="B348" s="326"/>
      <c r="C348" s="332">
        <f>98</f>
        <v>98</v>
      </c>
      <c r="D348" s="332">
        <f>6.84</f>
        <v>6.84</v>
      </c>
      <c r="E348" s="326"/>
      <c r="F348" s="327"/>
      <c r="G348" s="326"/>
      <c r="H348" s="325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5.75" customHeight="1" x14ac:dyDescent="0.25">
      <c r="A349" s="217" t="s">
        <v>482</v>
      </c>
      <c r="B349" s="354">
        <f t="shared" ref="B349:G349" si="114">SUM(B342:B348)</f>
        <v>0</v>
      </c>
      <c r="C349" s="354">
        <f t="shared" si="114"/>
        <v>678.81999999999994</v>
      </c>
      <c r="D349" s="354">
        <f t="shared" si="114"/>
        <v>6.84</v>
      </c>
      <c r="E349" s="354">
        <f t="shared" si="114"/>
        <v>0</v>
      </c>
      <c r="F349" s="354">
        <f t="shared" si="114"/>
        <v>4000</v>
      </c>
      <c r="G349" s="354">
        <f t="shared" si="114"/>
        <v>6000</v>
      </c>
      <c r="H349" s="325"/>
      <c r="I349" s="224"/>
      <c r="J349" s="224"/>
      <c r="K349" s="224"/>
      <c r="L349" s="224"/>
      <c r="M349" s="224"/>
      <c r="N349" s="224"/>
      <c r="O349" s="224"/>
      <c r="P349" s="224"/>
      <c r="Q349" s="224"/>
      <c r="R349" s="224"/>
      <c r="S349" s="224"/>
      <c r="T349" s="224"/>
      <c r="U349" s="224"/>
      <c r="V349" s="224"/>
      <c r="W349" s="224"/>
      <c r="X349" s="224"/>
      <c r="Y349" s="224"/>
      <c r="Z349" s="224"/>
    </row>
    <row r="350" spans="1:26" ht="15.75" customHeight="1" x14ac:dyDescent="0.25">
      <c r="A350" s="20"/>
      <c r="B350" s="323"/>
      <c r="C350" s="323"/>
      <c r="D350" s="323"/>
      <c r="E350" s="323"/>
      <c r="F350" s="324"/>
      <c r="G350" s="323"/>
      <c r="H350" s="32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8" t="s">
        <v>483</v>
      </c>
      <c r="B351" s="326"/>
      <c r="C351" s="326"/>
      <c r="D351" s="326"/>
      <c r="E351" s="326"/>
      <c r="F351" s="327"/>
      <c r="G351" s="326"/>
      <c r="H351" s="325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5.75" customHeight="1" x14ac:dyDescent="0.25">
      <c r="A352" s="48" t="s">
        <v>486</v>
      </c>
      <c r="B352" s="326"/>
      <c r="C352" s="326"/>
      <c r="D352" s="326"/>
      <c r="E352" s="326"/>
      <c r="F352" s="332">
        <f t="shared" ref="F352:G352" si="115">53.97</f>
        <v>53.97</v>
      </c>
      <c r="G352" s="332">
        <f t="shared" si="115"/>
        <v>53.97</v>
      </c>
      <c r="H352" s="325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5.75" customHeight="1" x14ac:dyDescent="0.25">
      <c r="A353" s="296" t="s">
        <v>488</v>
      </c>
      <c r="B353" s="326"/>
      <c r="C353" s="326"/>
      <c r="D353" s="326"/>
      <c r="E353" s="326"/>
      <c r="F353" s="332"/>
      <c r="G353" s="332"/>
      <c r="H353" s="325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5.75" customHeight="1" x14ac:dyDescent="0.25">
      <c r="A354" s="296" t="s">
        <v>490</v>
      </c>
      <c r="B354" s="326"/>
      <c r="C354" s="326"/>
      <c r="D354" s="326"/>
      <c r="E354" s="326"/>
      <c r="F354" s="332"/>
      <c r="G354" s="332"/>
      <c r="H354" s="325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5.75" customHeight="1" x14ac:dyDescent="0.25">
      <c r="A355" s="48" t="s">
        <v>491</v>
      </c>
      <c r="B355" s="326"/>
      <c r="C355" s="326"/>
      <c r="D355" s="326"/>
      <c r="E355" s="326"/>
      <c r="F355" s="332">
        <f t="shared" ref="F355:G355" si="116">1442.07</f>
        <v>1442.07</v>
      </c>
      <c r="G355" s="332">
        <f t="shared" si="116"/>
        <v>1442.07</v>
      </c>
      <c r="H355" s="325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5.75" customHeight="1" x14ac:dyDescent="0.25">
      <c r="A356" s="48" t="s">
        <v>493</v>
      </c>
      <c r="B356" s="326"/>
      <c r="C356" s="326"/>
      <c r="D356" s="326"/>
      <c r="E356" s="326"/>
      <c r="F356" s="332">
        <f t="shared" ref="F356:G356" si="117">1375</f>
        <v>1375</v>
      </c>
      <c r="G356" s="332">
        <f t="shared" si="117"/>
        <v>1375</v>
      </c>
      <c r="H356" s="325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5.75" customHeight="1" x14ac:dyDescent="0.25">
      <c r="A357" s="217" t="s">
        <v>494</v>
      </c>
      <c r="B357" s="354">
        <f t="shared" ref="B357:G357" si="118">SUM(B351:B356)</f>
        <v>0</v>
      </c>
      <c r="C357" s="354">
        <f t="shared" si="118"/>
        <v>0</v>
      </c>
      <c r="D357" s="354">
        <f t="shared" si="118"/>
        <v>0</v>
      </c>
      <c r="E357" s="354">
        <f t="shared" si="118"/>
        <v>0</v>
      </c>
      <c r="F357" s="354">
        <f t="shared" si="118"/>
        <v>2871.04</v>
      </c>
      <c r="G357" s="354">
        <f t="shared" si="118"/>
        <v>2871.04</v>
      </c>
      <c r="H357" s="325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4"/>
      <c r="U357" s="224"/>
      <c r="V357" s="224"/>
      <c r="W357" s="224"/>
      <c r="X357" s="224"/>
      <c r="Y357" s="224"/>
      <c r="Z357" s="224"/>
    </row>
    <row r="358" spans="1:26" ht="15.75" customHeight="1" x14ac:dyDescent="0.25">
      <c r="A358" s="20"/>
      <c r="B358" s="323"/>
      <c r="C358" s="323"/>
      <c r="D358" s="323"/>
      <c r="E358" s="323"/>
      <c r="F358" s="324"/>
      <c r="G358" s="323"/>
      <c r="H358" s="32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22" t="s">
        <v>614</v>
      </c>
      <c r="B359" s="346"/>
      <c r="C359" s="346"/>
      <c r="D359" s="346"/>
      <c r="E359" s="346"/>
      <c r="F359" s="345"/>
      <c r="G359" s="346"/>
      <c r="H359" s="325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  <c r="U359" s="131"/>
      <c r="V359" s="131"/>
      <c r="W359" s="131"/>
      <c r="X359" s="131"/>
      <c r="Y359" s="131"/>
      <c r="Z359" s="131"/>
    </row>
    <row r="360" spans="1:26" ht="15.75" customHeight="1" x14ac:dyDescent="0.25">
      <c r="A360" s="122" t="s">
        <v>615</v>
      </c>
      <c r="B360" s="344">
        <f>2443.24</f>
        <v>2443.2399999999998</v>
      </c>
      <c r="C360" s="344">
        <f>1583.55</f>
        <v>1583.55</v>
      </c>
      <c r="D360" s="346"/>
      <c r="E360" s="344">
        <f>1041.63</f>
        <v>1041.6300000000001</v>
      </c>
      <c r="F360" s="345"/>
      <c r="G360" s="346"/>
      <c r="H360" s="325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  <c r="U360" s="131"/>
      <c r="V360" s="131"/>
      <c r="W360" s="131"/>
      <c r="X360" s="131"/>
      <c r="Y360" s="131"/>
      <c r="Z360" s="131"/>
    </row>
    <row r="361" spans="1:26" ht="15.75" customHeight="1" x14ac:dyDescent="0.25">
      <c r="A361" s="122" t="s">
        <v>616</v>
      </c>
      <c r="B361" s="344">
        <f>1379.05</f>
        <v>1379.05</v>
      </c>
      <c r="C361" s="346"/>
      <c r="D361" s="346"/>
      <c r="E361" s="346"/>
      <c r="F361" s="345"/>
      <c r="G361" s="346"/>
      <c r="H361" s="325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  <c r="U361" s="131"/>
      <c r="V361" s="131"/>
      <c r="W361" s="131"/>
      <c r="X361" s="131"/>
      <c r="Y361" s="131"/>
      <c r="Z361" s="131"/>
    </row>
    <row r="362" spans="1:26" ht="15.75" customHeight="1" x14ac:dyDescent="0.25">
      <c r="A362" s="122" t="s">
        <v>617</v>
      </c>
      <c r="B362" s="346"/>
      <c r="C362" s="344">
        <f>2695.97</f>
        <v>2695.97</v>
      </c>
      <c r="D362" s="344">
        <f>1786.85</f>
        <v>1786.85</v>
      </c>
      <c r="E362" s="344">
        <f>1083.87</f>
        <v>1083.8699999999999</v>
      </c>
      <c r="F362" s="344">
        <f>2014.09</f>
        <v>2014.09</v>
      </c>
      <c r="G362" s="344">
        <f>1900</f>
        <v>1900</v>
      </c>
      <c r="H362" s="325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131"/>
      <c r="Y362" s="131"/>
      <c r="Z362" s="131"/>
    </row>
    <row r="363" spans="1:26" ht="15.75" customHeight="1" x14ac:dyDescent="0.25">
      <c r="A363" s="122" t="s">
        <v>618</v>
      </c>
      <c r="B363" s="344">
        <f>42.76</f>
        <v>42.76</v>
      </c>
      <c r="C363" s="346"/>
      <c r="D363" s="346"/>
      <c r="E363" s="344">
        <f>1644.08</f>
        <v>1644.08</v>
      </c>
      <c r="F363" s="344">
        <f>3265.2</f>
        <v>3265.2</v>
      </c>
      <c r="G363" s="344">
        <f>2995.2</f>
        <v>2995.2</v>
      </c>
      <c r="H363" s="325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  <c r="U363" s="131"/>
      <c r="V363" s="131"/>
      <c r="W363" s="131"/>
      <c r="X363" s="131"/>
      <c r="Y363" s="131"/>
      <c r="Z363" s="131"/>
    </row>
    <row r="364" spans="1:26" ht="15.75" customHeight="1" x14ac:dyDescent="0.25">
      <c r="A364" s="122" t="s">
        <v>619</v>
      </c>
      <c r="B364" s="344">
        <f>6167.87</f>
        <v>6167.87</v>
      </c>
      <c r="C364" s="344">
        <f>2727.02</f>
        <v>2727.02</v>
      </c>
      <c r="D364" s="346"/>
      <c r="E364" s="346"/>
      <c r="F364" s="344">
        <f>2494</f>
        <v>2494</v>
      </c>
      <c r="G364" s="344">
        <f>2543.99</f>
        <v>2543.9899999999998</v>
      </c>
      <c r="H364" s="325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  <c r="U364" s="131"/>
      <c r="V364" s="131"/>
      <c r="W364" s="131"/>
      <c r="X364" s="131"/>
      <c r="Y364" s="131"/>
      <c r="Z364" s="131"/>
    </row>
    <row r="365" spans="1:26" ht="15.75" customHeight="1" x14ac:dyDescent="0.25">
      <c r="A365" s="46" t="s">
        <v>620</v>
      </c>
      <c r="B365" s="328">
        <f>6838.84</f>
        <v>6838.84</v>
      </c>
      <c r="C365" s="328">
        <f>14317.76</f>
        <v>14317.76</v>
      </c>
      <c r="D365" s="328">
        <f>7375.4</f>
        <v>7375.4</v>
      </c>
      <c r="E365" s="328">
        <f>1000</f>
        <v>1000</v>
      </c>
      <c r="F365" s="328">
        <f>14464.22</f>
        <v>14464.22</v>
      </c>
      <c r="G365" s="328">
        <f>13464.22</f>
        <v>13464.22</v>
      </c>
      <c r="H365" s="32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6" t="s">
        <v>621</v>
      </c>
      <c r="B366" s="323"/>
      <c r="C366" s="323"/>
      <c r="D366" s="328">
        <f>389718.79</f>
        <v>389718.79</v>
      </c>
      <c r="E366" s="328">
        <f>45220.25</f>
        <v>45220.25</v>
      </c>
      <c r="F366" s="328">
        <f>76450.57</f>
        <v>76450.570000000007</v>
      </c>
      <c r="G366" s="328">
        <f>55038.07</f>
        <v>55038.07</v>
      </c>
      <c r="H366" s="32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6" t="s">
        <v>622</v>
      </c>
      <c r="B367" s="323"/>
      <c r="C367" s="323"/>
      <c r="D367" s="323"/>
      <c r="E367" s="323"/>
      <c r="F367" s="328">
        <f>8997.4</f>
        <v>8997.4</v>
      </c>
      <c r="G367" s="328">
        <f>10497.4</f>
        <v>10497.4</v>
      </c>
      <c r="H367" s="32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22" t="s">
        <v>623</v>
      </c>
      <c r="B368" s="351">
        <f t="shared" ref="B368:G368" si="119">SUM(B365:B367)</f>
        <v>6838.84</v>
      </c>
      <c r="C368" s="351">
        <f t="shared" si="119"/>
        <v>14317.76</v>
      </c>
      <c r="D368" s="351">
        <f t="shared" si="119"/>
        <v>397094.19</v>
      </c>
      <c r="E368" s="351">
        <f t="shared" si="119"/>
        <v>46220.25</v>
      </c>
      <c r="F368" s="351">
        <f t="shared" si="119"/>
        <v>99912.19</v>
      </c>
      <c r="G368" s="351">
        <f t="shared" si="119"/>
        <v>78999.689999999988</v>
      </c>
      <c r="H368" s="325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  <c r="U368" s="131"/>
      <c r="V368" s="131"/>
      <c r="W368" s="131"/>
      <c r="X368" s="131"/>
      <c r="Y368" s="131"/>
      <c r="Z368" s="131"/>
    </row>
    <row r="369" spans="1:26" ht="15.75" customHeight="1" x14ac:dyDescent="0.25">
      <c r="A369" s="122" t="s">
        <v>624</v>
      </c>
      <c r="B369" s="344">
        <f>394.75</f>
        <v>394.75</v>
      </c>
      <c r="C369" s="346"/>
      <c r="D369" s="346"/>
      <c r="E369" s="346"/>
      <c r="F369" s="345"/>
      <c r="G369" s="346"/>
      <c r="H369" s="325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  <c r="U369" s="131"/>
      <c r="V369" s="131"/>
      <c r="W369" s="131"/>
      <c r="X369" s="131"/>
      <c r="Y369" s="131"/>
      <c r="Z369" s="131"/>
    </row>
    <row r="370" spans="1:26" ht="15.75" customHeight="1" x14ac:dyDescent="0.25">
      <c r="A370" s="217" t="s">
        <v>625</v>
      </c>
      <c r="B370" s="354">
        <f t="shared" ref="B370:G370" si="120">SUM(B359:B364)+SUM(B368:B369)</f>
        <v>17266.510000000002</v>
      </c>
      <c r="C370" s="354">
        <f t="shared" si="120"/>
        <v>21324.3</v>
      </c>
      <c r="D370" s="354">
        <f t="shared" si="120"/>
        <v>398881.04</v>
      </c>
      <c r="E370" s="354">
        <f t="shared" si="120"/>
        <v>49989.83</v>
      </c>
      <c r="F370" s="354">
        <f t="shared" si="120"/>
        <v>107685.48</v>
      </c>
      <c r="G370" s="354">
        <f t="shared" si="120"/>
        <v>86438.87999999999</v>
      </c>
      <c r="H370" s="325"/>
      <c r="I370" s="224"/>
      <c r="J370" s="224"/>
      <c r="K370" s="224"/>
      <c r="L370" s="224"/>
      <c r="M370" s="224"/>
      <c r="N370" s="224"/>
      <c r="O370" s="224"/>
      <c r="P370" s="224"/>
      <c r="Q370" s="224"/>
      <c r="R370" s="224"/>
      <c r="S370" s="224"/>
      <c r="T370" s="224"/>
      <c r="U370" s="224"/>
      <c r="V370" s="224"/>
      <c r="W370" s="224"/>
      <c r="X370" s="224"/>
      <c r="Y370" s="224"/>
      <c r="Z370" s="224"/>
    </row>
    <row r="371" spans="1:26" ht="15.75" customHeight="1" x14ac:dyDescent="0.25">
      <c r="A371" s="20"/>
      <c r="B371" s="323"/>
      <c r="C371" s="323"/>
      <c r="D371" s="323"/>
      <c r="E371" s="323"/>
      <c r="F371" s="324"/>
      <c r="G371" s="323"/>
      <c r="H371" s="32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6" t="s">
        <v>626</v>
      </c>
      <c r="B372" s="323"/>
      <c r="C372" s="323"/>
      <c r="D372" s="323"/>
      <c r="E372" s="323"/>
      <c r="F372" s="324"/>
      <c r="G372" s="323"/>
      <c r="H372" s="32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6" t="s">
        <v>627</v>
      </c>
      <c r="B373" s="323"/>
      <c r="C373" s="323"/>
      <c r="D373" s="328">
        <f>89853.03</f>
        <v>89853.03</v>
      </c>
      <c r="E373" s="328">
        <f>283241.02</f>
        <v>283241.02</v>
      </c>
      <c r="F373" s="328">
        <f>123400.04</f>
        <v>123400.04</v>
      </c>
      <c r="G373" s="328">
        <f>102657.76</f>
        <v>102657.76</v>
      </c>
      <c r="H373" s="32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6" t="s">
        <v>628</v>
      </c>
      <c r="B374" s="323"/>
      <c r="C374" s="323"/>
      <c r="D374" s="328">
        <f>818.88</f>
        <v>818.88</v>
      </c>
      <c r="E374" s="323"/>
      <c r="F374" s="324"/>
      <c r="G374" s="323"/>
      <c r="H374" s="32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6" t="s">
        <v>629</v>
      </c>
      <c r="B375" s="323"/>
      <c r="C375" s="323"/>
      <c r="D375" s="328">
        <f>187.91</f>
        <v>187.91</v>
      </c>
      <c r="E375" s="323"/>
      <c r="F375" s="324"/>
      <c r="G375" s="323"/>
      <c r="H375" s="32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6" t="s">
        <v>630</v>
      </c>
      <c r="B376" s="323"/>
      <c r="C376" s="323"/>
      <c r="D376" s="328">
        <f>1946.42</f>
        <v>1946.42</v>
      </c>
      <c r="E376" s="323"/>
      <c r="F376" s="324"/>
      <c r="G376" s="323"/>
      <c r="H376" s="32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217" t="s">
        <v>631</v>
      </c>
      <c r="B377" s="354">
        <f t="shared" ref="B377:G377" si="121">SUM(B372:B376)</f>
        <v>0</v>
      </c>
      <c r="C377" s="354">
        <f t="shared" si="121"/>
        <v>0</v>
      </c>
      <c r="D377" s="354">
        <f t="shared" si="121"/>
        <v>92806.24</v>
      </c>
      <c r="E377" s="354">
        <f t="shared" si="121"/>
        <v>283241.02</v>
      </c>
      <c r="F377" s="354">
        <f t="shared" si="121"/>
        <v>123400.04</v>
      </c>
      <c r="G377" s="354">
        <f t="shared" si="121"/>
        <v>102657.76</v>
      </c>
      <c r="H377" s="325"/>
      <c r="I377" s="224"/>
      <c r="J377" s="224"/>
      <c r="K377" s="224"/>
      <c r="L377" s="224"/>
      <c r="M377" s="224"/>
      <c r="N377" s="224"/>
      <c r="O377" s="224"/>
      <c r="P377" s="224"/>
      <c r="Q377" s="224"/>
      <c r="R377" s="224"/>
      <c r="S377" s="224"/>
      <c r="T377" s="224"/>
      <c r="U377" s="224"/>
      <c r="V377" s="224"/>
      <c r="W377" s="224"/>
      <c r="X377" s="224"/>
      <c r="Y377" s="224"/>
      <c r="Z377" s="224"/>
    </row>
    <row r="378" spans="1:26" ht="15.75" customHeight="1" x14ac:dyDescent="0.25">
      <c r="A378" s="20"/>
      <c r="B378" s="342"/>
      <c r="C378" s="342"/>
      <c r="D378" s="342"/>
      <c r="E378" s="342"/>
      <c r="F378" s="342"/>
      <c r="G378" s="342"/>
      <c r="H378" s="32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297" t="s">
        <v>495</v>
      </c>
      <c r="B379" s="355">
        <f t="shared" ref="B379:G379" si="122">B143+B190+B232+B244+B252+B269+B291+B333+B340+B349+B357</f>
        <v>367761.18</v>
      </c>
      <c r="C379" s="355">
        <f t="shared" si="122"/>
        <v>360806.38</v>
      </c>
      <c r="D379" s="355">
        <f t="shared" si="122"/>
        <v>331441.03999999998</v>
      </c>
      <c r="E379" s="355">
        <f t="shared" si="122"/>
        <v>427428.7</v>
      </c>
      <c r="F379" s="355">
        <f t="shared" si="122"/>
        <v>400931.51000000007</v>
      </c>
      <c r="G379" s="355">
        <f t="shared" si="122"/>
        <v>236484.85999999996</v>
      </c>
      <c r="H379" s="325"/>
      <c r="I379" s="301"/>
      <c r="J379" s="301"/>
      <c r="K379" s="301"/>
      <c r="L379" s="301"/>
      <c r="M379" s="301"/>
      <c r="N379" s="301"/>
      <c r="O379" s="301"/>
      <c r="P379" s="301"/>
      <c r="Q379" s="301"/>
      <c r="R379" s="301"/>
      <c r="S379" s="301"/>
      <c r="T379" s="301"/>
      <c r="U379" s="301"/>
      <c r="V379" s="301"/>
      <c r="W379" s="301"/>
      <c r="X379" s="301"/>
      <c r="Y379" s="301"/>
      <c r="Z379" s="301"/>
    </row>
    <row r="380" spans="1:26" ht="15.75" customHeight="1" x14ac:dyDescent="0.25">
      <c r="A380" s="20"/>
      <c r="B380" s="342"/>
      <c r="C380" s="342"/>
      <c r="D380" s="342"/>
      <c r="E380" s="342"/>
      <c r="F380" s="342"/>
      <c r="G380" s="342"/>
      <c r="H380" s="32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02" t="s">
        <v>496</v>
      </c>
      <c r="B381" s="356">
        <f t="shared" ref="B381:G381" si="123">(B74)-(B379)</f>
        <v>40920.340000000026</v>
      </c>
      <c r="C381" s="356">
        <f t="shared" si="123"/>
        <v>5440.3600000000442</v>
      </c>
      <c r="D381" s="356">
        <f t="shared" si="123"/>
        <v>818615.75</v>
      </c>
      <c r="E381" s="356">
        <f t="shared" si="123"/>
        <v>89701.810000000056</v>
      </c>
      <c r="F381" s="356">
        <f t="shared" si="123"/>
        <v>174125.31999999989</v>
      </c>
      <c r="G381" s="356">
        <f t="shared" si="123"/>
        <v>152385.09000000005</v>
      </c>
      <c r="H381" s="325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5.75" customHeight="1" x14ac:dyDescent="0.25">
      <c r="A382" s="20"/>
      <c r="B382" s="306"/>
      <c r="C382" s="306"/>
      <c r="D382" s="306"/>
      <c r="E382" s="306"/>
      <c r="F382" s="1"/>
      <c r="G382" s="306"/>
      <c r="H382" s="32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32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32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32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32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32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32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32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32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32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32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32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32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32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32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32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32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32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32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32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32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32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32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32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32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32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32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32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32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32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32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32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32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32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32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32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32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32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32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32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32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32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32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32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32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32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32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32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32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32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32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32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32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32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32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32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32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32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32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32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32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32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32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32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32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32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32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32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32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32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32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32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32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32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32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32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32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32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32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32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32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32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32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32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32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32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32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32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32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32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32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32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32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32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32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32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32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32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32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32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32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32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32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32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32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32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32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32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32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32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32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32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32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32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32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32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32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32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32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32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32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32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32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32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32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32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32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32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32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32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32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32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32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32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32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32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32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32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32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32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32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32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32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32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32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32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32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32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32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32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32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32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32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32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32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32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32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32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32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32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32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32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32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32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32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32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32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32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32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32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32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32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32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32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32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32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32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32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32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32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32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32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32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32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32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32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32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32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32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32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32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32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32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32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32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32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32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32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32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32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/>
    <row r="583" spans="1:26" ht="15.75" customHeight="1" x14ac:dyDescent="0.2"/>
    <row r="584" spans="1:26" ht="15.75" customHeight="1" x14ac:dyDescent="0.2"/>
    <row r="585" spans="1:26" ht="15.75" customHeight="1" x14ac:dyDescent="0.2"/>
    <row r="586" spans="1:26" ht="15.75" customHeight="1" x14ac:dyDescent="0.2"/>
    <row r="587" spans="1:26" ht="15.75" customHeight="1" x14ac:dyDescent="0.2"/>
    <row r="588" spans="1:26" ht="15.75" customHeight="1" x14ac:dyDescent="0.2"/>
    <row r="589" spans="1:26" ht="15.75" customHeight="1" x14ac:dyDescent="0.2"/>
    <row r="590" spans="1:26" ht="15.75" customHeight="1" x14ac:dyDescent="0.2"/>
    <row r="591" spans="1:26" ht="15.75" customHeight="1" x14ac:dyDescent="0.2"/>
    <row r="592" spans="1:26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1000"/>
  <sheetViews>
    <sheetView workbookViewId="0"/>
  </sheetViews>
  <sheetFormatPr defaultColWidth="12.625" defaultRowHeight="15" customHeight="1" x14ac:dyDescent="0.2"/>
  <cols>
    <col min="1" max="1" width="12.625" customWidth="1"/>
    <col min="2" max="2" width="56.625" customWidth="1"/>
    <col min="3" max="6" width="12.625" customWidth="1"/>
  </cols>
  <sheetData>
    <row r="1" spans="1:2" x14ac:dyDescent="0.25">
      <c r="A1" s="318" t="s">
        <v>632</v>
      </c>
      <c r="B1" s="357"/>
    </row>
    <row r="2" spans="1:2" ht="30" x14ac:dyDescent="0.25">
      <c r="A2" s="358">
        <v>1705</v>
      </c>
      <c r="B2" s="359" t="s">
        <v>633</v>
      </c>
    </row>
    <row r="3" spans="1:2" ht="30" x14ac:dyDescent="0.25">
      <c r="A3" s="358">
        <v>1740</v>
      </c>
      <c r="B3" s="359" t="s">
        <v>634</v>
      </c>
    </row>
    <row r="4" spans="1:2" ht="45" x14ac:dyDescent="0.25">
      <c r="A4" s="358">
        <v>1750</v>
      </c>
      <c r="B4" s="359" t="s">
        <v>635</v>
      </c>
    </row>
    <row r="5" spans="1:2" ht="30" x14ac:dyDescent="0.25">
      <c r="A5" s="358">
        <v>1814</v>
      </c>
      <c r="B5" s="359" t="s">
        <v>636</v>
      </c>
    </row>
    <row r="6" spans="1:2" x14ac:dyDescent="0.25">
      <c r="B6" s="357"/>
    </row>
    <row r="7" spans="1:2" x14ac:dyDescent="0.25">
      <c r="A7" s="360" t="s">
        <v>637</v>
      </c>
      <c r="B7" s="361"/>
    </row>
    <row r="8" spans="1:2" ht="30" x14ac:dyDescent="0.25">
      <c r="A8" s="358">
        <v>3041</v>
      </c>
      <c r="B8" s="359" t="s">
        <v>638</v>
      </c>
    </row>
    <row r="9" spans="1:2" x14ac:dyDescent="0.25">
      <c r="A9" s="358">
        <v>3042</v>
      </c>
      <c r="B9" s="359" t="s">
        <v>639</v>
      </c>
    </row>
    <row r="10" spans="1:2" ht="45" x14ac:dyDescent="0.25">
      <c r="A10" s="358">
        <v>3044</v>
      </c>
      <c r="B10" s="359" t="s">
        <v>640</v>
      </c>
    </row>
    <row r="11" spans="1:2" x14ac:dyDescent="0.25">
      <c r="A11" s="358">
        <v>3047</v>
      </c>
      <c r="B11" s="359" t="s">
        <v>641</v>
      </c>
    </row>
    <row r="12" spans="1:2" ht="45" x14ac:dyDescent="0.25">
      <c r="A12" s="358">
        <v>3049</v>
      </c>
      <c r="B12" s="359" t="s">
        <v>642</v>
      </c>
    </row>
    <row r="13" spans="1:2" ht="60" x14ac:dyDescent="0.25">
      <c r="A13" s="358"/>
      <c r="B13" s="359" t="s">
        <v>643</v>
      </c>
    </row>
    <row r="14" spans="1:2" x14ac:dyDescent="0.25">
      <c r="A14" s="358">
        <v>3060</v>
      </c>
      <c r="B14" s="359" t="s">
        <v>644</v>
      </c>
    </row>
    <row r="15" spans="1:2" x14ac:dyDescent="0.25">
      <c r="A15" s="358">
        <v>3091</v>
      </c>
      <c r="B15" s="359" t="s">
        <v>645</v>
      </c>
    </row>
    <row r="16" spans="1:2" ht="45" x14ac:dyDescent="0.25">
      <c r="A16" s="358">
        <v>5090</v>
      </c>
      <c r="B16" s="359" t="s">
        <v>646</v>
      </c>
    </row>
    <row r="17" spans="1:2" x14ac:dyDescent="0.25">
      <c r="A17" s="358">
        <v>5130</v>
      </c>
      <c r="B17" s="359" t="s">
        <v>647</v>
      </c>
    </row>
    <row r="18" spans="1:2" ht="30" x14ac:dyDescent="0.25">
      <c r="A18" s="358">
        <v>5155</v>
      </c>
      <c r="B18" s="359" t="s">
        <v>648</v>
      </c>
    </row>
    <row r="19" spans="1:2" ht="30" x14ac:dyDescent="0.25">
      <c r="A19" s="358">
        <v>5170</v>
      </c>
      <c r="B19" s="359" t="s">
        <v>649</v>
      </c>
    </row>
    <row r="20" spans="1:2" ht="30" x14ac:dyDescent="0.25">
      <c r="A20" s="358">
        <v>5210</v>
      </c>
      <c r="B20" s="359" t="s">
        <v>650</v>
      </c>
    </row>
    <row r="21" spans="1:2" ht="15.75" customHeight="1" x14ac:dyDescent="0.25">
      <c r="A21" s="358">
        <v>5310</v>
      </c>
      <c r="B21" s="359" t="s">
        <v>651</v>
      </c>
    </row>
    <row r="22" spans="1:2" ht="15.75" customHeight="1" x14ac:dyDescent="0.25">
      <c r="A22" s="358">
        <v>5314</v>
      </c>
      <c r="B22" s="359" t="s">
        <v>652</v>
      </c>
    </row>
    <row r="23" spans="1:2" ht="15.75" customHeight="1" x14ac:dyDescent="0.25">
      <c r="A23" s="358">
        <v>5318</v>
      </c>
      <c r="B23" s="359" t="s">
        <v>653</v>
      </c>
    </row>
    <row r="24" spans="1:2" ht="15.75" customHeight="1" x14ac:dyDescent="0.25">
      <c r="A24" s="358">
        <v>5440</v>
      </c>
      <c r="B24" s="359" t="s">
        <v>645</v>
      </c>
    </row>
    <row r="25" spans="1:2" ht="15.75" customHeight="1" x14ac:dyDescent="0.25">
      <c r="A25" s="358">
        <v>5515</v>
      </c>
      <c r="B25" s="359" t="s">
        <v>654</v>
      </c>
    </row>
    <row r="26" spans="1:2" ht="15.75" customHeight="1" x14ac:dyDescent="0.25">
      <c r="A26" s="358">
        <v>5520</v>
      </c>
      <c r="B26" s="359" t="s">
        <v>645</v>
      </c>
    </row>
    <row r="27" spans="1:2" ht="15.75" customHeight="1" x14ac:dyDescent="0.25">
      <c r="A27" s="358">
        <v>5535</v>
      </c>
      <c r="B27" s="359" t="s">
        <v>655</v>
      </c>
    </row>
    <row r="28" spans="1:2" ht="15.75" customHeight="1" x14ac:dyDescent="0.25">
      <c r="A28" s="358">
        <v>5540</v>
      </c>
      <c r="B28" s="359" t="s">
        <v>656</v>
      </c>
    </row>
    <row r="29" spans="1:2" ht="15.75" customHeight="1" x14ac:dyDescent="0.25">
      <c r="A29" s="358">
        <v>5600</v>
      </c>
      <c r="B29" s="359" t="s">
        <v>657</v>
      </c>
    </row>
    <row r="30" spans="1:2" ht="15.75" customHeight="1" x14ac:dyDescent="0.25">
      <c r="A30" s="358">
        <v>5710</v>
      </c>
      <c r="B30" s="359" t="s">
        <v>645</v>
      </c>
    </row>
    <row r="31" spans="1:2" ht="15.75" customHeight="1" x14ac:dyDescent="0.25">
      <c r="A31" s="358">
        <v>5720</v>
      </c>
      <c r="B31" s="359" t="s">
        <v>645</v>
      </c>
    </row>
    <row r="32" spans="1:2" ht="15.75" customHeight="1" x14ac:dyDescent="0.25">
      <c r="A32" s="358">
        <v>5730</v>
      </c>
      <c r="B32" s="359" t="s">
        <v>658</v>
      </c>
    </row>
    <row r="33" spans="1:2" ht="15.75" customHeight="1" x14ac:dyDescent="0.25">
      <c r="A33" s="358">
        <v>5810</v>
      </c>
      <c r="B33" s="359" t="s">
        <v>659</v>
      </c>
    </row>
    <row r="34" spans="1:2" ht="15.75" customHeight="1" x14ac:dyDescent="0.25">
      <c r="A34" s="358">
        <v>5910</v>
      </c>
      <c r="B34" s="359" t="s">
        <v>660</v>
      </c>
    </row>
    <row r="35" spans="1:2" ht="15.75" customHeight="1" x14ac:dyDescent="0.25">
      <c r="A35" s="358">
        <v>5925</v>
      </c>
      <c r="B35" s="359" t="s">
        <v>661</v>
      </c>
    </row>
    <row r="36" spans="1:2" ht="15.75" customHeight="1" x14ac:dyDescent="0.25">
      <c r="B36" s="357"/>
    </row>
    <row r="37" spans="1:2" ht="15.75" customHeight="1" x14ac:dyDescent="0.25">
      <c r="B37" s="357"/>
    </row>
    <row r="38" spans="1:2" ht="15.75" customHeight="1" x14ac:dyDescent="0.25">
      <c r="B38" s="357"/>
    </row>
    <row r="39" spans="1:2" ht="15.75" customHeight="1" x14ac:dyDescent="0.25">
      <c r="B39" s="357"/>
    </row>
    <row r="40" spans="1:2" ht="15.75" customHeight="1" x14ac:dyDescent="0.25">
      <c r="B40" s="357"/>
    </row>
    <row r="41" spans="1:2" ht="15.75" customHeight="1" x14ac:dyDescent="0.25">
      <c r="B41" s="357"/>
    </row>
    <row r="42" spans="1:2" ht="15.75" customHeight="1" x14ac:dyDescent="0.25">
      <c r="B42" s="357"/>
    </row>
    <row r="43" spans="1:2" ht="15.75" customHeight="1" x14ac:dyDescent="0.25">
      <c r="B43" s="357"/>
    </row>
    <row r="44" spans="1:2" ht="15.75" customHeight="1" x14ac:dyDescent="0.25">
      <c r="B44" s="357"/>
    </row>
    <row r="45" spans="1:2" ht="15.75" customHeight="1" x14ac:dyDescent="0.25">
      <c r="B45" s="357"/>
    </row>
    <row r="46" spans="1:2" ht="15.75" customHeight="1" x14ac:dyDescent="0.25">
      <c r="B46" s="357"/>
    </row>
    <row r="47" spans="1:2" ht="15.75" customHeight="1" x14ac:dyDescent="0.25">
      <c r="B47" s="357"/>
    </row>
    <row r="48" spans="1:2" ht="15.75" customHeight="1" x14ac:dyDescent="0.25">
      <c r="B48" s="357"/>
    </row>
    <row r="49" spans="2:2" ht="15.75" customHeight="1" x14ac:dyDescent="0.25">
      <c r="B49" s="357"/>
    </row>
    <row r="50" spans="2:2" ht="15.75" customHeight="1" x14ac:dyDescent="0.25">
      <c r="B50" s="357"/>
    </row>
    <row r="51" spans="2:2" ht="15.75" customHeight="1" x14ac:dyDescent="0.25">
      <c r="B51" s="357"/>
    </row>
    <row r="52" spans="2:2" ht="15.75" customHeight="1" x14ac:dyDescent="0.25">
      <c r="B52" s="357"/>
    </row>
    <row r="53" spans="2:2" ht="15.75" customHeight="1" x14ac:dyDescent="0.25">
      <c r="B53" s="357"/>
    </row>
    <row r="54" spans="2:2" ht="15.75" customHeight="1" x14ac:dyDescent="0.25">
      <c r="B54" s="357"/>
    </row>
    <row r="55" spans="2:2" ht="15.75" customHeight="1" x14ac:dyDescent="0.25">
      <c r="B55" s="357"/>
    </row>
    <row r="56" spans="2:2" ht="15.75" customHeight="1" x14ac:dyDescent="0.25">
      <c r="B56" s="357"/>
    </row>
    <row r="57" spans="2:2" ht="15.75" customHeight="1" x14ac:dyDescent="0.25">
      <c r="B57" s="357"/>
    </row>
    <row r="58" spans="2:2" ht="15.75" customHeight="1" x14ac:dyDescent="0.25">
      <c r="B58" s="357"/>
    </row>
    <row r="59" spans="2:2" ht="15.75" customHeight="1" x14ac:dyDescent="0.25">
      <c r="B59" s="357"/>
    </row>
    <row r="60" spans="2:2" ht="15.75" customHeight="1" x14ac:dyDescent="0.25">
      <c r="B60" s="357"/>
    </row>
    <row r="61" spans="2:2" ht="15.75" customHeight="1" x14ac:dyDescent="0.25">
      <c r="B61" s="357"/>
    </row>
    <row r="62" spans="2:2" ht="15.75" customHeight="1" x14ac:dyDescent="0.25">
      <c r="B62" s="357"/>
    </row>
    <row r="63" spans="2:2" ht="15.75" customHeight="1" x14ac:dyDescent="0.25">
      <c r="B63" s="357"/>
    </row>
    <row r="64" spans="2:2" ht="15.75" customHeight="1" x14ac:dyDescent="0.25">
      <c r="B64" s="357"/>
    </row>
    <row r="65" spans="2:2" ht="15.75" customHeight="1" x14ac:dyDescent="0.25">
      <c r="B65" s="357"/>
    </row>
    <row r="66" spans="2:2" ht="15.75" customHeight="1" x14ac:dyDescent="0.25">
      <c r="B66" s="357"/>
    </row>
    <row r="67" spans="2:2" ht="15.75" customHeight="1" x14ac:dyDescent="0.25">
      <c r="B67" s="357"/>
    </row>
    <row r="68" spans="2:2" ht="15.75" customHeight="1" x14ac:dyDescent="0.25">
      <c r="B68" s="357"/>
    </row>
    <row r="69" spans="2:2" ht="15.75" customHeight="1" x14ac:dyDescent="0.25">
      <c r="B69" s="357"/>
    </row>
    <row r="70" spans="2:2" ht="15.75" customHeight="1" x14ac:dyDescent="0.25">
      <c r="B70" s="357"/>
    </row>
    <row r="71" spans="2:2" ht="15.75" customHeight="1" x14ac:dyDescent="0.25">
      <c r="B71" s="357"/>
    </row>
    <row r="72" spans="2:2" ht="15.75" customHeight="1" x14ac:dyDescent="0.25">
      <c r="B72" s="357"/>
    </row>
    <row r="73" spans="2:2" ht="15.75" customHeight="1" x14ac:dyDescent="0.25">
      <c r="B73" s="357"/>
    </row>
    <row r="74" spans="2:2" ht="15.75" customHeight="1" x14ac:dyDescent="0.25">
      <c r="B74" s="357"/>
    </row>
    <row r="75" spans="2:2" ht="15.75" customHeight="1" x14ac:dyDescent="0.25">
      <c r="B75" s="357"/>
    </row>
    <row r="76" spans="2:2" ht="15.75" customHeight="1" x14ac:dyDescent="0.25">
      <c r="B76" s="357"/>
    </row>
    <row r="77" spans="2:2" ht="15.75" customHeight="1" x14ac:dyDescent="0.25">
      <c r="B77" s="357"/>
    </row>
    <row r="78" spans="2:2" ht="15.75" customHeight="1" x14ac:dyDescent="0.25">
      <c r="B78" s="357"/>
    </row>
    <row r="79" spans="2:2" ht="15.75" customHeight="1" x14ac:dyDescent="0.25">
      <c r="B79" s="357"/>
    </row>
    <row r="80" spans="2:2" ht="15.75" customHeight="1" x14ac:dyDescent="0.25">
      <c r="B80" s="357"/>
    </row>
    <row r="81" spans="2:2" ht="15.75" customHeight="1" x14ac:dyDescent="0.25">
      <c r="B81" s="357"/>
    </row>
    <row r="82" spans="2:2" ht="15.75" customHeight="1" x14ac:dyDescent="0.25">
      <c r="B82" s="357"/>
    </row>
    <row r="83" spans="2:2" ht="15.75" customHeight="1" x14ac:dyDescent="0.25">
      <c r="B83" s="357"/>
    </row>
    <row r="84" spans="2:2" ht="15.75" customHeight="1" x14ac:dyDescent="0.25">
      <c r="B84" s="357"/>
    </row>
    <row r="85" spans="2:2" ht="15.75" customHeight="1" x14ac:dyDescent="0.25">
      <c r="B85" s="357"/>
    </row>
    <row r="86" spans="2:2" ht="15.75" customHeight="1" x14ac:dyDescent="0.25">
      <c r="B86" s="357"/>
    </row>
    <row r="87" spans="2:2" ht="15.75" customHeight="1" x14ac:dyDescent="0.25">
      <c r="B87" s="357"/>
    </row>
    <row r="88" spans="2:2" ht="15.75" customHeight="1" x14ac:dyDescent="0.25">
      <c r="B88" s="357"/>
    </row>
    <row r="89" spans="2:2" ht="15.75" customHeight="1" x14ac:dyDescent="0.25">
      <c r="B89" s="357"/>
    </row>
    <row r="90" spans="2:2" ht="15.75" customHeight="1" x14ac:dyDescent="0.25">
      <c r="B90" s="357"/>
    </row>
    <row r="91" spans="2:2" ht="15.75" customHeight="1" x14ac:dyDescent="0.25">
      <c r="B91" s="357"/>
    </row>
    <row r="92" spans="2:2" ht="15.75" customHeight="1" x14ac:dyDescent="0.25">
      <c r="B92" s="357"/>
    </row>
    <row r="93" spans="2:2" ht="15.75" customHeight="1" x14ac:dyDescent="0.25">
      <c r="B93" s="357"/>
    </row>
    <row r="94" spans="2:2" ht="15.75" customHeight="1" x14ac:dyDescent="0.25">
      <c r="B94" s="357"/>
    </row>
    <row r="95" spans="2:2" ht="15.75" customHeight="1" x14ac:dyDescent="0.25">
      <c r="B95" s="357"/>
    </row>
    <row r="96" spans="2:2" ht="15.75" customHeight="1" x14ac:dyDescent="0.25">
      <c r="B96" s="357"/>
    </row>
    <row r="97" spans="2:2" ht="15.75" customHeight="1" x14ac:dyDescent="0.25">
      <c r="B97" s="357"/>
    </row>
    <row r="98" spans="2:2" ht="15.75" customHeight="1" x14ac:dyDescent="0.25">
      <c r="B98" s="357"/>
    </row>
    <row r="99" spans="2:2" ht="15.75" customHeight="1" x14ac:dyDescent="0.25">
      <c r="B99" s="357"/>
    </row>
    <row r="100" spans="2:2" ht="15.75" customHeight="1" x14ac:dyDescent="0.25">
      <c r="B100" s="357"/>
    </row>
    <row r="101" spans="2:2" ht="15.75" customHeight="1" x14ac:dyDescent="0.25">
      <c r="B101" s="357"/>
    </row>
    <row r="102" spans="2:2" ht="15.75" customHeight="1" x14ac:dyDescent="0.25">
      <c r="B102" s="357"/>
    </row>
    <row r="103" spans="2:2" ht="15.75" customHeight="1" x14ac:dyDescent="0.25">
      <c r="B103" s="357"/>
    </row>
    <row r="104" spans="2:2" ht="15.75" customHeight="1" x14ac:dyDescent="0.25">
      <c r="B104" s="357"/>
    </row>
    <row r="105" spans="2:2" ht="15.75" customHeight="1" x14ac:dyDescent="0.25">
      <c r="B105" s="357"/>
    </row>
    <row r="106" spans="2:2" ht="15.75" customHeight="1" x14ac:dyDescent="0.25">
      <c r="B106" s="357"/>
    </row>
    <row r="107" spans="2:2" ht="15.75" customHeight="1" x14ac:dyDescent="0.25">
      <c r="B107" s="357"/>
    </row>
    <row r="108" spans="2:2" ht="15.75" customHeight="1" x14ac:dyDescent="0.25">
      <c r="B108" s="357"/>
    </row>
    <row r="109" spans="2:2" ht="15.75" customHeight="1" x14ac:dyDescent="0.25">
      <c r="B109" s="357"/>
    </row>
    <row r="110" spans="2:2" ht="15.75" customHeight="1" x14ac:dyDescent="0.25">
      <c r="B110" s="357"/>
    </row>
    <row r="111" spans="2:2" ht="15.75" customHeight="1" x14ac:dyDescent="0.25">
      <c r="B111" s="357"/>
    </row>
    <row r="112" spans="2:2" ht="15.75" customHeight="1" x14ac:dyDescent="0.25">
      <c r="B112" s="357"/>
    </row>
    <row r="113" spans="2:2" ht="15.75" customHeight="1" x14ac:dyDescent="0.25">
      <c r="B113" s="357"/>
    </row>
    <row r="114" spans="2:2" ht="15.75" customHeight="1" x14ac:dyDescent="0.25">
      <c r="B114" s="357"/>
    </row>
    <row r="115" spans="2:2" ht="15.75" customHeight="1" x14ac:dyDescent="0.25">
      <c r="B115" s="357"/>
    </row>
    <row r="116" spans="2:2" ht="15.75" customHeight="1" x14ac:dyDescent="0.25">
      <c r="B116" s="357"/>
    </row>
    <row r="117" spans="2:2" ht="15.75" customHeight="1" x14ac:dyDescent="0.25">
      <c r="B117" s="357"/>
    </row>
    <row r="118" spans="2:2" ht="15.75" customHeight="1" x14ac:dyDescent="0.25">
      <c r="B118" s="357"/>
    </row>
    <row r="119" spans="2:2" ht="15.75" customHeight="1" x14ac:dyDescent="0.25">
      <c r="B119" s="357"/>
    </row>
    <row r="120" spans="2:2" ht="15.75" customHeight="1" x14ac:dyDescent="0.25">
      <c r="B120" s="357"/>
    </row>
    <row r="121" spans="2:2" ht="15.75" customHeight="1" x14ac:dyDescent="0.25">
      <c r="B121" s="357"/>
    </row>
    <row r="122" spans="2:2" ht="15.75" customHeight="1" x14ac:dyDescent="0.25">
      <c r="B122" s="357"/>
    </row>
    <row r="123" spans="2:2" ht="15.75" customHeight="1" x14ac:dyDescent="0.25">
      <c r="B123" s="357"/>
    </row>
    <row r="124" spans="2:2" ht="15.75" customHeight="1" x14ac:dyDescent="0.25">
      <c r="B124" s="357"/>
    </row>
    <row r="125" spans="2:2" ht="15.75" customHeight="1" x14ac:dyDescent="0.25">
      <c r="B125" s="357"/>
    </row>
    <row r="126" spans="2:2" ht="15.75" customHeight="1" x14ac:dyDescent="0.25">
      <c r="B126" s="357"/>
    </row>
    <row r="127" spans="2:2" ht="15.75" customHeight="1" x14ac:dyDescent="0.25">
      <c r="B127" s="357"/>
    </row>
    <row r="128" spans="2:2" ht="15.75" customHeight="1" x14ac:dyDescent="0.25">
      <c r="B128" s="357"/>
    </row>
    <row r="129" spans="2:2" ht="15.75" customHeight="1" x14ac:dyDescent="0.25">
      <c r="B129" s="357"/>
    </row>
    <row r="130" spans="2:2" ht="15.75" customHeight="1" x14ac:dyDescent="0.25">
      <c r="B130" s="357"/>
    </row>
    <row r="131" spans="2:2" ht="15.75" customHeight="1" x14ac:dyDescent="0.25">
      <c r="B131" s="357"/>
    </row>
    <row r="132" spans="2:2" ht="15.75" customHeight="1" x14ac:dyDescent="0.25">
      <c r="B132" s="357"/>
    </row>
    <row r="133" spans="2:2" ht="15.75" customHeight="1" x14ac:dyDescent="0.25">
      <c r="B133" s="357"/>
    </row>
    <row r="134" spans="2:2" ht="15.75" customHeight="1" x14ac:dyDescent="0.25">
      <c r="B134" s="357"/>
    </row>
    <row r="135" spans="2:2" ht="15.75" customHeight="1" x14ac:dyDescent="0.25">
      <c r="B135" s="357"/>
    </row>
    <row r="136" spans="2:2" ht="15.75" customHeight="1" x14ac:dyDescent="0.25">
      <c r="B136" s="357"/>
    </row>
    <row r="137" spans="2:2" ht="15.75" customHeight="1" x14ac:dyDescent="0.25">
      <c r="B137" s="357"/>
    </row>
    <row r="138" spans="2:2" ht="15.75" customHeight="1" x14ac:dyDescent="0.25">
      <c r="B138" s="357"/>
    </row>
    <row r="139" spans="2:2" ht="15.75" customHeight="1" x14ac:dyDescent="0.25">
      <c r="B139" s="357"/>
    </row>
    <row r="140" spans="2:2" ht="15.75" customHeight="1" x14ac:dyDescent="0.25">
      <c r="B140" s="357"/>
    </row>
    <row r="141" spans="2:2" ht="15.75" customHeight="1" x14ac:dyDescent="0.25">
      <c r="B141" s="357"/>
    </row>
    <row r="142" spans="2:2" ht="15.75" customHeight="1" x14ac:dyDescent="0.25">
      <c r="B142" s="357"/>
    </row>
    <row r="143" spans="2:2" ht="15.75" customHeight="1" x14ac:dyDescent="0.25">
      <c r="B143" s="357"/>
    </row>
    <row r="144" spans="2:2" ht="15.75" customHeight="1" x14ac:dyDescent="0.25">
      <c r="B144" s="357"/>
    </row>
    <row r="145" spans="2:2" ht="15.75" customHeight="1" x14ac:dyDescent="0.25">
      <c r="B145" s="357"/>
    </row>
    <row r="146" spans="2:2" ht="15.75" customHeight="1" x14ac:dyDescent="0.25">
      <c r="B146" s="357"/>
    </row>
    <row r="147" spans="2:2" ht="15.75" customHeight="1" x14ac:dyDescent="0.25">
      <c r="B147" s="357"/>
    </row>
    <row r="148" spans="2:2" ht="15.75" customHeight="1" x14ac:dyDescent="0.25">
      <c r="B148" s="357"/>
    </row>
    <row r="149" spans="2:2" ht="15.75" customHeight="1" x14ac:dyDescent="0.25">
      <c r="B149" s="357"/>
    </row>
    <row r="150" spans="2:2" ht="15.75" customHeight="1" x14ac:dyDescent="0.25">
      <c r="B150" s="357"/>
    </row>
    <row r="151" spans="2:2" ht="15.75" customHeight="1" x14ac:dyDescent="0.25">
      <c r="B151" s="357"/>
    </row>
    <row r="152" spans="2:2" ht="15.75" customHeight="1" x14ac:dyDescent="0.25">
      <c r="B152" s="357"/>
    </row>
    <row r="153" spans="2:2" ht="15.75" customHeight="1" x14ac:dyDescent="0.25">
      <c r="B153" s="357"/>
    </row>
    <row r="154" spans="2:2" ht="15.75" customHeight="1" x14ac:dyDescent="0.25">
      <c r="B154" s="357"/>
    </row>
    <row r="155" spans="2:2" ht="15.75" customHeight="1" x14ac:dyDescent="0.25">
      <c r="B155" s="357"/>
    </row>
    <row r="156" spans="2:2" ht="15.75" customHeight="1" x14ac:dyDescent="0.25">
      <c r="B156" s="357"/>
    </row>
    <row r="157" spans="2:2" ht="15.75" customHeight="1" x14ac:dyDescent="0.25">
      <c r="B157" s="357"/>
    </row>
    <row r="158" spans="2:2" ht="15.75" customHeight="1" x14ac:dyDescent="0.25">
      <c r="B158" s="357"/>
    </row>
    <row r="159" spans="2:2" ht="15.75" customHeight="1" x14ac:dyDescent="0.25">
      <c r="B159" s="357"/>
    </row>
    <row r="160" spans="2:2" ht="15.75" customHeight="1" x14ac:dyDescent="0.25">
      <c r="B160" s="357"/>
    </row>
    <row r="161" spans="2:2" ht="15.75" customHeight="1" x14ac:dyDescent="0.25">
      <c r="B161" s="357"/>
    </row>
    <row r="162" spans="2:2" ht="15.75" customHeight="1" x14ac:dyDescent="0.25">
      <c r="B162" s="357"/>
    </row>
    <row r="163" spans="2:2" ht="15.75" customHeight="1" x14ac:dyDescent="0.25">
      <c r="B163" s="357"/>
    </row>
    <row r="164" spans="2:2" ht="15.75" customHeight="1" x14ac:dyDescent="0.25">
      <c r="B164" s="357"/>
    </row>
    <row r="165" spans="2:2" ht="15.75" customHeight="1" x14ac:dyDescent="0.25">
      <c r="B165" s="357"/>
    </row>
    <row r="166" spans="2:2" ht="15.75" customHeight="1" x14ac:dyDescent="0.25">
      <c r="B166" s="357"/>
    </row>
    <row r="167" spans="2:2" ht="15.75" customHeight="1" x14ac:dyDescent="0.25">
      <c r="B167" s="357"/>
    </row>
    <row r="168" spans="2:2" ht="15.75" customHeight="1" x14ac:dyDescent="0.25">
      <c r="B168" s="357"/>
    </row>
    <row r="169" spans="2:2" ht="15.75" customHeight="1" x14ac:dyDescent="0.25">
      <c r="B169" s="357"/>
    </row>
    <row r="170" spans="2:2" ht="15.75" customHeight="1" x14ac:dyDescent="0.25">
      <c r="B170" s="357"/>
    </row>
    <row r="171" spans="2:2" ht="15.75" customHeight="1" x14ac:dyDescent="0.25">
      <c r="B171" s="357"/>
    </row>
    <row r="172" spans="2:2" ht="15.75" customHeight="1" x14ac:dyDescent="0.25">
      <c r="B172" s="357"/>
    </row>
    <row r="173" spans="2:2" ht="15.75" customHeight="1" x14ac:dyDescent="0.25">
      <c r="B173" s="357"/>
    </row>
    <row r="174" spans="2:2" ht="15.75" customHeight="1" x14ac:dyDescent="0.25">
      <c r="B174" s="357"/>
    </row>
    <row r="175" spans="2:2" ht="15.75" customHeight="1" x14ac:dyDescent="0.25">
      <c r="B175" s="357"/>
    </row>
    <row r="176" spans="2:2" ht="15.75" customHeight="1" x14ac:dyDescent="0.25">
      <c r="B176" s="357"/>
    </row>
    <row r="177" spans="2:2" ht="15.75" customHeight="1" x14ac:dyDescent="0.25">
      <c r="B177" s="357"/>
    </row>
    <row r="178" spans="2:2" ht="15.75" customHeight="1" x14ac:dyDescent="0.25">
      <c r="B178" s="357"/>
    </row>
    <row r="179" spans="2:2" ht="15.75" customHeight="1" x14ac:dyDescent="0.25">
      <c r="B179" s="357"/>
    </row>
    <row r="180" spans="2:2" ht="15.75" customHeight="1" x14ac:dyDescent="0.25">
      <c r="B180" s="357"/>
    </row>
    <row r="181" spans="2:2" ht="15.75" customHeight="1" x14ac:dyDescent="0.25">
      <c r="B181" s="357"/>
    </row>
    <row r="182" spans="2:2" ht="15.75" customHeight="1" x14ac:dyDescent="0.25">
      <c r="B182" s="357"/>
    </row>
    <row r="183" spans="2:2" ht="15.75" customHeight="1" x14ac:dyDescent="0.25">
      <c r="B183" s="357"/>
    </row>
    <row r="184" spans="2:2" ht="15.75" customHeight="1" x14ac:dyDescent="0.25">
      <c r="B184" s="357"/>
    </row>
    <row r="185" spans="2:2" ht="15.75" customHeight="1" x14ac:dyDescent="0.25">
      <c r="B185" s="357"/>
    </row>
    <row r="186" spans="2:2" ht="15.75" customHeight="1" x14ac:dyDescent="0.25">
      <c r="B186" s="357"/>
    </row>
    <row r="187" spans="2:2" ht="15.75" customHeight="1" x14ac:dyDescent="0.25">
      <c r="B187" s="357"/>
    </row>
    <row r="188" spans="2:2" ht="15.75" customHeight="1" x14ac:dyDescent="0.25">
      <c r="B188" s="357"/>
    </row>
    <row r="189" spans="2:2" ht="15.75" customHeight="1" x14ac:dyDescent="0.25">
      <c r="B189" s="357"/>
    </row>
    <row r="190" spans="2:2" ht="15.75" customHeight="1" x14ac:dyDescent="0.25">
      <c r="B190" s="357"/>
    </row>
    <row r="191" spans="2:2" ht="15.75" customHeight="1" x14ac:dyDescent="0.25">
      <c r="B191" s="357"/>
    </row>
    <row r="192" spans="2:2" ht="15.75" customHeight="1" x14ac:dyDescent="0.25">
      <c r="B192" s="357"/>
    </row>
    <row r="193" spans="2:2" ht="15.75" customHeight="1" x14ac:dyDescent="0.25">
      <c r="B193" s="357"/>
    </row>
    <row r="194" spans="2:2" ht="15.75" customHeight="1" x14ac:dyDescent="0.25">
      <c r="B194" s="357"/>
    </row>
    <row r="195" spans="2:2" ht="15.75" customHeight="1" x14ac:dyDescent="0.25">
      <c r="B195" s="357"/>
    </row>
    <row r="196" spans="2:2" ht="15.75" customHeight="1" x14ac:dyDescent="0.25">
      <c r="B196" s="357"/>
    </row>
    <row r="197" spans="2:2" ht="15.75" customHeight="1" x14ac:dyDescent="0.25">
      <c r="B197" s="357"/>
    </row>
    <row r="198" spans="2:2" ht="15.75" customHeight="1" x14ac:dyDescent="0.25">
      <c r="B198" s="357"/>
    </row>
    <row r="199" spans="2:2" ht="15.75" customHeight="1" x14ac:dyDescent="0.25">
      <c r="B199" s="357"/>
    </row>
    <row r="200" spans="2:2" ht="15.75" customHeight="1" x14ac:dyDescent="0.25">
      <c r="B200" s="357"/>
    </row>
    <row r="201" spans="2:2" ht="15.75" customHeight="1" x14ac:dyDescent="0.25">
      <c r="B201" s="357"/>
    </row>
    <row r="202" spans="2:2" ht="15.75" customHeight="1" x14ac:dyDescent="0.25">
      <c r="B202" s="357"/>
    </row>
    <row r="203" spans="2:2" ht="15.75" customHeight="1" x14ac:dyDescent="0.25">
      <c r="B203" s="357"/>
    </row>
    <row r="204" spans="2:2" ht="15.75" customHeight="1" x14ac:dyDescent="0.25">
      <c r="B204" s="357"/>
    </row>
    <row r="205" spans="2:2" ht="15.75" customHeight="1" x14ac:dyDescent="0.25">
      <c r="B205" s="357"/>
    </row>
    <row r="206" spans="2:2" ht="15.75" customHeight="1" x14ac:dyDescent="0.25">
      <c r="B206" s="357"/>
    </row>
    <row r="207" spans="2:2" ht="15.75" customHeight="1" x14ac:dyDescent="0.25">
      <c r="B207" s="357"/>
    </row>
    <row r="208" spans="2:2" ht="15.75" customHeight="1" x14ac:dyDescent="0.25">
      <c r="B208" s="357"/>
    </row>
    <row r="209" spans="2:2" ht="15.75" customHeight="1" x14ac:dyDescent="0.25">
      <c r="B209" s="357"/>
    </row>
    <row r="210" spans="2:2" ht="15.75" customHeight="1" x14ac:dyDescent="0.25">
      <c r="B210" s="357"/>
    </row>
    <row r="211" spans="2:2" ht="15.75" customHeight="1" x14ac:dyDescent="0.25">
      <c r="B211" s="357"/>
    </row>
    <row r="212" spans="2:2" ht="15.75" customHeight="1" x14ac:dyDescent="0.25">
      <c r="B212" s="357"/>
    </row>
    <row r="213" spans="2:2" ht="15.75" customHeight="1" x14ac:dyDescent="0.25">
      <c r="B213" s="357"/>
    </row>
    <row r="214" spans="2:2" ht="15.75" customHeight="1" x14ac:dyDescent="0.25">
      <c r="B214" s="357"/>
    </row>
    <row r="215" spans="2:2" ht="15.75" customHeight="1" x14ac:dyDescent="0.25">
      <c r="B215" s="357"/>
    </row>
    <row r="216" spans="2:2" ht="15.75" customHeight="1" x14ac:dyDescent="0.25">
      <c r="B216" s="357"/>
    </row>
    <row r="217" spans="2:2" ht="15.75" customHeight="1" x14ac:dyDescent="0.25">
      <c r="B217" s="357"/>
    </row>
    <row r="218" spans="2:2" ht="15.75" customHeight="1" x14ac:dyDescent="0.25">
      <c r="B218" s="357"/>
    </row>
    <row r="219" spans="2:2" ht="15.75" customHeight="1" x14ac:dyDescent="0.25">
      <c r="B219" s="357"/>
    </row>
    <row r="220" spans="2:2" ht="15.75" customHeight="1" x14ac:dyDescent="0.25">
      <c r="B220" s="357"/>
    </row>
    <row r="221" spans="2:2" ht="15.75" customHeight="1" x14ac:dyDescent="0.25">
      <c r="B221" s="357"/>
    </row>
    <row r="222" spans="2:2" ht="15.75" customHeight="1" x14ac:dyDescent="0.25">
      <c r="B222" s="357"/>
    </row>
    <row r="223" spans="2:2" ht="15.75" customHeight="1" x14ac:dyDescent="0.25">
      <c r="B223" s="357"/>
    </row>
    <row r="224" spans="2:2" ht="15.75" customHeight="1" x14ac:dyDescent="0.25">
      <c r="B224" s="357"/>
    </row>
    <row r="225" spans="2:2" ht="15.75" customHeight="1" x14ac:dyDescent="0.25">
      <c r="B225" s="357"/>
    </row>
    <row r="226" spans="2:2" ht="15.75" customHeight="1" x14ac:dyDescent="0.25">
      <c r="B226" s="357"/>
    </row>
    <row r="227" spans="2:2" ht="15.75" customHeight="1" x14ac:dyDescent="0.25">
      <c r="B227" s="357"/>
    </row>
    <row r="228" spans="2:2" ht="15.75" customHeight="1" x14ac:dyDescent="0.25">
      <c r="B228" s="357"/>
    </row>
    <row r="229" spans="2:2" ht="15.75" customHeight="1" x14ac:dyDescent="0.25">
      <c r="B229" s="357"/>
    </row>
    <row r="230" spans="2:2" ht="15.75" customHeight="1" x14ac:dyDescent="0.25">
      <c r="B230" s="357"/>
    </row>
    <row r="231" spans="2:2" ht="15.75" customHeight="1" x14ac:dyDescent="0.25">
      <c r="B231" s="357"/>
    </row>
    <row r="232" spans="2:2" ht="15.75" customHeight="1" x14ac:dyDescent="0.25">
      <c r="B232" s="357"/>
    </row>
    <row r="233" spans="2:2" ht="15.75" customHeight="1" x14ac:dyDescent="0.25">
      <c r="B233" s="357"/>
    </row>
    <row r="234" spans="2:2" ht="15.75" customHeight="1" x14ac:dyDescent="0.25">
      <c r="B234" s="357"/>
    </row>
    <row r="235" spans="2:2" ht="15.75" customHeight="1" x14ac:dyDescent="0.25">
      <c r="B235" s="357"/>
    </row>
    <row r="236" spans="2:2" ht="15.75" customHeight="1" x14ac:dyDescent="0.2"/>
    <row r="237" spans="2:2" ht="15.75" customHeight="1" x14ac:dyDescent="0.2"/>
    <row r="238" spans="2:2" ht="15.75" customHeight="1" x14ac:dyDescent="0.2"/>
    <row r="239" spans="2:2" ht="15.75" customHeight="1" x14ac:dyDescent="0.2"/>
    <row r="240" spans="2:2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7:B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1000"/>
  <sheetViews>
    <sheetView workbookViewId="0"/>
  </sheetViews>
  <sheetFormatPr defaultColWidth="12.625" defaultRowHeight="15" customHeight="1" x14ac:dyDescent="0.2"/>
  <cols>
    <col min="1" max="6" width="12.625" customWidth="1"/>
  </cols>
  <sheetData>
    <row r="1" spans="1:1" x14ac:dyDescent="0.25">
      <c r="A1" s="318" t="s">
        <v>662</v>
      </c>
    </row>
    <row r="2" spans="1:1" x14ac:dyDescent="0.25">
      <c r="A2" s="318" t="s">
        <v>663</v>
      </c>
    </row>
    <row r="3" spans="1:1" x14ac:dyDescent="0.25">
      <c r="A3" s="318" t="s">
        <v>664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FY21 w YOY comp</vt:lpstr>
      <vt:lpstr>For print-email</vt:lpstr>
      <vt:lpstr>Summary for Cong Mtg</vt:lpstr>
      <vt:lpstr>P&amp;L Annual Comparison</vt:lpstr>
      <vt:lpstr>Yvette notes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Moody, Ross</dc:creator>
  <cp:lastModifiedBy>Moody, Ross</cp:lastModifiedBy>
  <dcterms:created xsi:type="dcterms:W3CDTF">2021-10-28T19:14:31Z</dcterms:created>
  <dcterms:modified xsi:type="dcterms:W3CDTF">2022-01-20T01:32:18Z</dcterms:modified>
</cp:coreProperties>
</file>