
<file path=[Content_Types].xml><?xml version="1.0" encoding="utf-8"?>
<Types xmlns="http://schemas.openxmlformats.org/package/2006/content-type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209"/>
  <workbookPr/>
  <mc:AlternateContent xmlns:mc="http://schemas.openxmlformats.org/markup-compatibility/2006">
    <mc:Choice Requires="x15">
      <x15ac:absPath xmlns:x15ac="http://schemas.microsoft.com/office/spreadsheetml/2010/11/ac" url="/Users/dougpascover/Documents/Imagine/Board Meetings/February 2025/"/>
    </mc:Choice>
  </mc:AlternateContent>
  <xr:revisionPtr revIDLastSave="0" documentId="13_ncr:1_{B01DA7A7-77A3-9B41-B5A4-556C92FE3BCB}" xr6:coauthVersionLast="47" xr6:coauthVersionMax="47" xr10:uidLastSave="{00000000-0000-0000-0000-000000000000}"/>
  <bookViews>
    <workbookView xWindow="7080" yWindow="7580" windowWidth="29400" windowHeight="17280" activeTab="1" xr2:uid="{00000000-000D-0000-FFFF-FFFF00000000}"/>
  </bookViews>
  <sheets>
    <sheet name="Export Summary" sheetId="1" r:id="rId1"/>
    <sheet name="Proposed Budget" sheetId="2" r:id="rId2"/>
    <sheet name="Forecast on Yearly Trend" sheetId="3" r:id="rId3"/>
    <sheet name="Calculators" sheetId="4" r:id="rId4"/>
    <sheet name="Hours" sheetId="5" r:id="rId5"/>
    <sheet name="Instructions" sheetId="6" r:id="rId6"/>
    <sheet name="Change notes" sheetId="7" r:id="rId7"/>
  </sheets>
  <externalReferences>
    <externalReference r:id="rId8"/>
  </externalReferenc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9" i="4" l="1"/>
  <c r="F9" i="4"/>
  <c r="E9" i="4"/>
  <c r="D9" i="4"/>
  <c r="C9" i="4"/>
  <c r="H9" i="4"/>
  <c r="I9" i="4"/>
  <c r="J9" i="4"/>
  <c r="K9" i="4"/>
  <c r="L9" i="4"/>
  <c r="M9" i="4"/>
  <c r="B9" i="4"/>
  <c r="G7" i="4"/>
  <c r="F7" i="4"/>
  <c r="E7" i="4"/>
  <c r="D7" i="4"/>
  <c r="C7" i="4"/>
  <c r="B7" i="4"/>
  <c r="M11" i="2"/>
  <c r="L11" i="2"/>
  <c r="K11" i="2"/>
  <c r="J11" i="2"/>
  <c r="I11" i="2"/>
  <c r="H11" i="2"/>
  <c r="G11" i="2"/>
  <c r="F11" i="2"/>
  <c r="E11" i="2"/>
  <c r="D11" i="2"/>
  <c r="C11" i="2"/>
  <c r="B11" i="2"/>
  <c r="M71" i="4"/>
  <c r="L71" i="4"/>
  <c r="K71" i="4"/>
  <c r="J71" i="4"/>
  <c r="I71" i="4"/>
  <c r="H71" i="4"/>
  <c r="G71" i="4"/>
  <c r="F71" i="4"/>
  <c r="E71" i="4"/>
  <c r="D71" i="4"/>
  <c r="C71" i="4"/>
  <c r="B71" i="4"/>
  <c r="M16" i="4"/>
  <c r="L16" i="4"/>
  <c r="K16" i="4"/>
  <c r="J16" i="4"/>
  <c r="I16" i="4"/>
  <c r="H16" i="4"/>
  <c r="H17" i="4"/>
  <c r="M15" i="4"/>
  <c r="J15" i="4"/>
  <c r="I15" i="4"/>
  <c r="H15" i="4"/>
  <c r="M17" i="4"/>
  <c r="L17" i="4"/>
  <c r="K17" i="4"/>
  <c r="J17" i="4"/>
  <c r="I17" i="4"/>
  <c r="B39" i="2"/>
  <c r="G15" i="4"/>
  <c r="D15" i="4"/>
  <c r="F15" i="4"/>
  <c r="E15" i="4"/>
  <c r="C15" i="4"/>
  <c r="B15" i="4"/>
  <c r="M67" i="4" l="1"/>
  <c r="L67" i="4"/>
  <c r="K67" i="4"/>
  <c r="J67" i="4"/>
  <c r="I67" i="4"/>
  <c r="H67" i="4"/>
  <c r="G67" i="4"/>
  <c r="F67" i="4"/>
  <c r="E67" i="4"/>
  <c r="D67" i="4"/>
  <c r="C67" i="4"/>
  <c r="B67" i="4"/>
  <c r="M55" i="4"/>
  <c r="L55" i="4"/>
  <c r="K55" i="4"/>
  <c r="J55" i="4"/>
  <c r="I55" i="4"/>
  <c r="H55" i="4"/>
  <c r="G55" i="4"/>
  <c r="F55" i="4"/>
  <c r="E55" i="4"/>
  <c r="D55" i="4"/>
  <c r="M81" i="4"/>
  <c r="L81" i="4"/>
  <c r="K81" i="4"/>
  <c r="J81" i="4"/>
  <c r="I81" i="4"/>
  <c r="H81" i="4"/>
  <c r="G81" i="4"/>
  <c r="F81" i="4"/>
  <c r="E81" i="4"/>
  <c r="D81" i="4"/>
  <c r="C81" i="4"/>
  <c r="B81" i="4"/>
  <c r="B42" i="4"/>
  <c r="B41" i="4"/>
  <c r="C41" i="4" s="1"/>
  <c r="D41" i="4" s="1"/>
  <c r="B40" i="4"/>
  <c r="N41" i="4" l="1"/>
  <c r="C42" i="4"/>
  <c r="D42" i="4" s="1"/>
  <c r="C40" i="4"/>
  <c r="D40" i="4" s="1"/>
  <c r="N81" i="4" l="1"/>
  <c r="N42" i="4"/>
  <c r="N40" i="4"/>
  <c r="G16" i="4" l="1"/>
  <c r="F16" i="4"/>
  <c r="E16" i="4"/>
  <c r="D16" i="4"/>
  <c r="C16" i="4"/>
  <c r="B16" i="4"/>
  <c r="F17" i="4"/>
  <c r="G17" i="4"/>
  <c r="D17" i="4"/>
  <c r="E17" i="4"/>
  <c r="C17" i="4"/>
  <c r="B17" i="4"/>
  <c r="B27" i="4"/>
  <c r="K80" i="5" l="1"/>
  <c r="K42" i="5"/>
  <c r="M31" i="4" l="1"/>
  <c r="L31" i="4"/>
  <c r="K31" i="4"/>
  <c r="J31" i="4"/>
  <c r="I31" i="4"/>
  <c r="H31" i="4"/>
  <c r="G31" i="4"/>
  <c r="F31" i="4"/>
  <c r="E31" i="4"/>
  <c r="D31" i="4"/>
  <c r="C31" i="4"/>
  <c r="B31" i="4"/>
  <c r="M43" i="4"/>
  <c r="L43" i="4"/>
  <c r="K43" i="4"/>
  <c r="J43" i="4"/>
  <c r="I43" i="4"/>
  <c r="H43" i="4"/>
  <c r="G43" i="4"/>
  <c r="F43" i="4"/>
  <c r="E43" i="4"/>
  <c r="D43" i="4"/>
  <c r="C43" i="4"/>
  <c r="M39" i="4"/>
  <c r="L39" i="4"/>
  <c r="K39" i="4"/>
  <c r="J39" i="4"/>
  <c r="I39" i="4"/>
  <c r="H39" i="4"/>
  <c r="G39" i="4"/>
  <c r="F39" i="4"/>
  <c r="E39" i="4"/>
  <c r="D39" i="4"/>
  <c r="C39" i="4"/>
  <c r="M38" i="4"/>
  <c r="L38" i="4"/>
  <c r="K38" i="4"/>
  <c r="J38" i="4"/>
  <c r="I38" i="4"/>
  <c r="H38" i="4"/>
  <c r="G38" i="4"/>
  <c r="F38" i="4"/>
  <c r="E38" i="4"/>
  <c r="D38" i="4"/>
  <c r="C38" i="4"/>
  <c r="M37" i="4"/>
  <c r="L37" i="4"/>
  <c r="K37" i="4"/>
  <c r="J37" i="4"/>
  <c r="I37" i="4"/>
  <c r="H37" i="4"/>
  <c r="G37" i="4"/>
  <c r="F37" i="4"/>
  <c r="E37" i="4"/>
  <c r="D37" i="4"/>
  <c r="C37" i="4"/>
  <c r="M36" i="4"/>
  <c r="L36" i="4"/>
  <c r="K36" i="4"/>
  <c r="J36" i="4"/>
  <c r="I36" i="4"/>
  <c r="H36" i="4"/>
  <c r="G36" i="4"/>
  <c r="F36" i="4"/>
  <c r="E36" i="4"/>
  <c r="D36" i="4"/>
  <c r="C36" i="4"/>
  <c r="M35" i="4"/>
  <c r="L35" i="4"/>
  <c r="K35" i="4"/>
  <c r="J35" i="4"/>
  <c r="I35" i="4"/>
  <c r="H35" i="4"/>
  <c r="G35" i="4"/>
  <c r="F35" i="4"/>
  <c r="E35" i="4"/>
  <c r="D35" i="4"/>
  <c r="C35" i="4"/>
  <c r="M34" i="4"/>
  <c r="L34" i="4"/>
  <c r="K34" i="4"/>
  <c r="J34" i="4"/>
  <c r="I34" i="4"/>
  <c r="H34" i="4"/>
  <c r="G34" i="4"/>
  <c r="F34" i="4"/>
  <c r="E34" i="4"/>
  <c r="D34" i="4"/>
  <c r="C34" i="4"/>
  <c r="B43" i="4"/>
  <c r="B39" i="4"/>
  <c r="B38" i="4"/>
  <c r="B37" i="4"/>
  <c r="B36" i="4"/>
  <c r="B35" i="4"/>
  <c r="B34" i="4"/>
  <c r="M30" i="4"/>
  <c r="M32" i="4" s="1"/>
  <c r="L30" i="4"/>
  <c r="L32" i="4" s="1"/>
  <c r="K30" i="4"/>
  <c r="K32" i="4" s="1"/>
  <c r="J30" i="4"/>
  <c r="J32" i="4" s="1"/>
  <c r="I30" i="4"/>
  <c r="I32" i="4" s="1"/>
  <c r="H30" i="4"/>
  <c r="H32" i="4" s="1"/>
  <c r="G30" i="4"/>
  <c r="G32" i="4" s="1"/>
  <c r="F30" i="4"/>
  <c r="F32" i="4" s="1"/>
  <c r="E30" i="4"/>
  <c r="E32" i="4" s="1"/>
  <c r="D30" i="4"/>
  <c r="D32" i="4" s="1"/>
  <c r="C30" i="4"/>
  <c r="C32" i="4" s="1"/>
  <c r="B30" i="4"/>
  <c r="B32" i="4" s="1"/>
  <c r="N31" i="4" l="1"/>
  <c r="L44" i="4"/>
  <c r="N43" i="4"/>
  <c r="N39" i="4"/>
  <c r="M44" i="4"/>
  <c r="C44" i="4"/>
  <c r="N38" i="4"/>
  <c r="K44" i="4"/>
  <c r="N37" i="4"/>
  <c r="N36" i="4"/>
  <c r="I44" i="4"/>
  <c r="E44" i="4"/>
  <c r="N35" i="4"/>
  <c r="J44" i="4"/>
  <c r="F44" i="4"/>
  <c r="G44" i="4"/>
  <c r="H44" i="4"/>
  <c r="N34" i="4"/>
  <c r="D44" i="4"/>
  <c r="B44" i="4"/>
  <c r="N30" i="4"/>
  <c r="N32" i="4" s="1"/>
  <c r="N11" i="2"/>
  <c r="M74" i="4"/>
  <c r="M75" i="4" s="1"/>
  <c r="M13" i="2" s="1"/>
  <c r="L74" i="4"/>
  <c r="L75" i="4" s="1"/>
  <c r="L13" i="2" s="1"/>
  <c r="K74" i="4"/>
  <c r="K75" i="4" s="1"/>
  <c r="K13" i="2" s="1"/>
  <c r="J74" i="4"/>
  <c r="J75" i="4" s="1"/>
  <c r="J13" i="2" s="1"/>
  <c r="I74" i="4"/>
  <c r="I75" i="4" s="1"/>
  <c r="I13" i="2" s="1"/>
  <c r="H74" i="4"/>
  <c r="H75" i="4" s="1"/>
  <c r="H13" i="2" s="1"/>
  <c r="G74" i="4"/>
  <c r="G75" i="4" s="1"/>
  <c r="G13" i="2" s="1"/>
  <c r="F74" i="4"/>
  <c r="F75" i="4" s="1"/>
  <c r="F13" i="2" s="1"/>
  <c r="E74" i="4"/>
  <c r="E75" i="4" s="1"/>
  <c r="E13" i="2" s="1"/>
  <c r="D74" i="4"/>
  <c r="D75" i="4" s="1"/>
  <c r="D13" i="2" s="1"/>
  <c r="C74" i="4"/>
  <c r="C75" i="4" s="1"/>
  <c r="C13" i="2" s="1"/>
  <c r="B74" i="4"/>
  <c r="B75" i="4" s="1"/>
  <c r="B13" i="2" s="1"/>
  <c r="M80" i="4"/>
  <c r="L80" i="4"/>
  <c r="K80" i="4"/>
  <c r="J80" i="4"/>
  <c r="I80" i="4"/>
  <c r="H80" i="4"/>
  <c r="G80" i="4"/>
  <c r="F80" i="4"/>
  <c r="E80" i="4"/>
  <c r="D80" i="4"/>
  <c r="C80" i="4"/>
  <c r="B80" i="4"/>
  <c r="M79" i="4"/>
  <c r="L79" i="4"/>
  <c r="K79" i="4"/>
  <c r="J79" i="4"/>
  <c r="I79" i="4"/>
  <c r="H79" i="4"/>
  <c r="G79" i="4"/>
  <c r="F79" i="4"/>
  <c r="E79" i="4"/>
  <c r="D79" i="4"/>
  <c r="C79" i="4"/>
  <c r="B79" i="4"/>
  <c r="D213" i="5" a="1"/>
  <c r="D213" i="5" s="1"/>
  <c r="M78" i="4" a="1"/>
  <c r="M78" i="4" s="1"/>
  <c r="L78" i="4" a="1"/>
  <c r="L78" i="4" s="1"/>
  <c r="K78" i="4" a="1"/>
  <c r="K78" i="4" s="1"/>
  <c r="J78" i="4" a="1"/>
  <c r="J78" i="4" s="1"/>
  <c r="I78" i="4" a="1"/>
  <c r="I78" i="4" s="1"/>
  <c r="H78" i="4" a="1"/>
  <c r="H78" i="4" s="1"/>
  <c r="G78" i="4" a="1"/>
  <c r="G78" i="4" s="1"/>
  <c r="F78" i="4" a="1"/>
  <c r="F78" i="4" s="1"/>
  <c r="E78" i="4" a="1"/>
  <c r="E78" i="4" s="1"/>
  <c r="D78" i="4" a="1"/>
  <c r="D78" i="4" s="1"/>
  <c r="C78" i="4" a="1"/>
  <c r="C78" i="4" s="1"/>
  <c r="B78" i="4" a="1"/>
  <c r="B78" i="4" s="1"/>
  <c r="F225" i="5"/>
  <c r="I225" i="5" s="1"/>
  <c r="L225" i="5" s="1"/>
  <c r="O225" i="5" s="1"/>
  <c r="E225" i="5"/>
  <c r="H225" i="5" s="1"/>
  <c r="K225" i="5" s="1"/>
  <c r="N225" i="5" s="1"/>
  <c r="D225" i="5"/>
  <c r="G225" i="5" s="1"/>
  <c r="J225" i="5" s="1"/>
  <c r="M225" i="5" s="1"/>
  <c r="O213" i="5" a="1"/>
  <c r="O213" i="5" s="1"/>
  <c r="N213" i="5" a="1"/>
  <c r="N213" i="5" s="1"/>
  <c r="M213" i="5" a="1"/>
  <c r="M213" i="5" s="1"/>
  <c r="L213" i="5" a="1"/>
  <c r="L213" i="5" s="1"/>
  <c r="K213" i="5" a="1"/>
  <c r="K213" i="5" s="1"/>
  <c r="J213" i="5" a="1"/>
  <c r="J213" i="5" s="1"/>
  <c r="I213" i="5" a="1"/>
  <c r="I213" i="5" s="1"/>
  <c r="H213" i="5" a="1"/>
  <c r="H213" i="5" s="1"/>
  <c r="G213" i="5" a="1"/>
  <c r="G213" i="5" s="1"/>
  <c r="F213" i="5" a="1"/>
  <c r="F213" i="5" s="1"/>
  <c r="E213" i="5" a="1"/>
  <c r="E213" i="5" s="1"/>
  <c r="N44" i="4" l="1"/>
  <c r="N13" i="2"/>
  <c r="N74" i="4"/>
  <c r="N75" i="4" s="1"/>
  <c r="N79" i="4"/>
  <c r="N80" i="4"/>
  <c r="N78" i="4"/>
  <c r="D58" i="3" l="1"/>
  <c r="D52" i="3"/>
  <c r="D48" i="3"/>
  <c r="F98" i="3"/>
  <c r="F99" i="3" s="1"/>
  <c r="F97" i="3"/>
  <c r="F96" i="3"/>
  <c r="F94" i="3"/>
  <c r="F93" i="3"/>
  <c r="F91" i="3"/>
  <c r="F90" i="3"/>
  <c r="F89" i="3"/>
  <c r="F88" i="3"/>
  <c r="F87" i="3"/>
  <c r="F85" i="3"/>
  <c r="F83" i="3"/>
  <c r="F82" i="3"/>
  <c r="F81" i="3"/>
  <c r="F80" i="3"/>
  <c r="F78" i="3"/>
  <c r="F77" i="3"/>
  <c r="F75" i="3"/>
  <c r="F74" i="3"/>
  <c r="F73" i="3"/>
  <c r="F72" i="3"/>
  <c r="F69" i="3"/>
  <c r="F68" i="3"/>
  <c r="F67" i="3"/>
  <c r="F66" i="3"/>
  <c r="F62" i="3"/>
  <c r="F61" i="3"/>
  <c r="F60" i="3"/>
  <c r="F59" i="3"/>
  <c r="F58" i="3"/>
  <c r="F56" i="3"/>
  <c r="F55" i="3"/>
  <c r="F54" i="3"/>
  <c r="F52" i="3"/>
  <c r="F51" i="3"/>
  <c r="F50" i="3"/>
  <c r="F49" i="3"/>
  <c r="F48" i="3"/>
  <c r="F47" i="3"/>
  <c r="F46" i="3"/>
  <c r="F27" i="3"/>
  <c r="F28" i="3"/>
  <c r="F29" i="3"/>
  <c r="F40" i="3"/>
  <c r="F39" i="3"/>
  <c r="F38" i="3"/>
  <c r="F35" i="3"/>
  <c r="F34" i="3"/>
  <c r="F33" i="3"/>
  <c r="F32" i="3"/>
  <c r="F31" i="3"/>
  <c r="F30" i="3"/>
  <c r="F36" i="3" s="1"/>
  <c r="F22" i="3"/>
  <c r="F21" i="3"/>
  <c r="F20" i="3"/>
  <c r="F19" i="3"/>
  <c r="F18" i="3"/>
  <c r="F17" i="3"/>
  <c r="F16" i="3"/>
  <c r="F15" i="3"/>
  <c r="F14" i="3"/>
  <c r="F13" i="3"/>
  <c r="F12" i="3"/>
  <c r="F10" i="3"/>
  <c r="F9" i="3"/>
  <c r="E72" i="3"/>
  <c r="E76" i="3" s="1"/>
  <c r="E69" i="3"/>
  <c r="E68" i="3"/>
  <c r="E67" i="3"/>
  <c r="E65" i="3"/>
  <c r="E61" i="3"/>
  <c r="E59" i="3"/>
  <c r="E58" i="3"/>
  <c r="E56" i="3"/>
  <c r="E55" i="3"/>
  <c r="E54" i="3"/>
  <c r="E52" i="3"/>
  <c r="E51" i="3"/>
  <c r="E50" i="3"/>
  <c r="E49" i="3"/>
  <c r="E48" i="3"/>
  <c r="E47" i="3"/>
  <c r="E63" i="3" s="1"/>
  <c r="E46" i="3"/>
  <c r="E40" i="3"/>
  <c r="E42" i="3" s="1"/>
  <c r="E38" i="3"/>
  <c r="E35" i="3"/>
  <c r="E34" i="3"/>
  <c r="E33" i="3"/>
  <c r="E32" i="3"/>
  <c r="E31" i="3"/>
  <c r="E36" i="3" s="1"/>
  <c r="E29" i="3"/>
  <c r="E28" i="3"/>
  <c r="E27" i="3"/>
  <c r="E26" i="3"/>
  <c r="E21" i="3"/>
  <c r="E20" i="3"/>
  <c r="E19" i="3"/>
  <c r="E18" i="3"/>
  <c r="E17" i="3"/>
  <c r="E16" i="3"/>
  <c r="E15" i="3"/>
  <c r="E14" i="3"/>
  <c r="E13" i="3"/>
  <c r="E12" i="3"/>
  <c r="E10" i="3"/>
  <c r="E9" i="3"/>
  <c r="E11" i="3" s="1"/>
  <c r="E22" i="3" s="1"/>
  <c r="E23" i="3" s="1"/>
  <c r="E24" i="3" s="1"/>
  <c r="K138" i="5"/>
  <c r="I138" i="5" s="1"/>
  <c r="K143" i="5"/>
  <c r="K142" i="5"/>
  <c r="K137" i="5"/>
  <c r="K133" i="5"/>
  <c r="K132" i="5"/>
  <c r="K122" i="5"/>
  <c r="K112" i="5"/>
  <c r="K108" i="5"/>
  <c r="K104" i="5"/>
  <c r="K103" i="5"/>
  <c r="K98" i="5"/>
  <c r="K89" i="5"/>
  <c r="K88" i="5"/>
  <c r="K84" i="5"/>
  <c r="K83" i="5"/>
  <c r="K75" i="5"/>
  <c r="K71" i="5"/>
  <c r="K67" i="5"/>
  <c r="K66" i="5"/>
  <c r="K61" i="5"/>
  <c r="K38" i="5"/>
  <c r="K37" i="5"/>
  <c r="K28" i="5"/>
  <c r="K27" i="5"/>
  <c r="K23" i="5"/>
  <c r="K7" i="5"/>
  <c r="K8" i="5"/>
  <c r="K48" i="5"/>
  <c r="B57" i="2"/>
  <c r="B44" i="2"/>
  <c r="B45" i="2"/>
  <c r="B47" i="2"/>
  <c r="B32" i="2"/>
  <c r="B33" i="2"/>
  <c r="D168" i="5"/>
  <c r="E44" i="3" l="1"/>
  <c r="F76" i="3"/>
  <c r="F102" i="3" s="1"/>
  <c r="F63" i="3"/>
  <c r="F41" i="3"/>
  <c r="F44" i="3" s="1"/>
  <c r="F103" i="3" s="1"/>
  <c r="N82" i="4"/>
  <c r="M83" i="4"/>
  <c r="M12" i="2" s="1"/>
  <c r="G83" i="4"/>
  <c r="G12" i="2" s="1"/>
  <c r="I83" i="4"/>
  <c r="I12" i="2" s="1"/>
  <c r="E83" i="4"/>
  <c r="E12" i="2" s="1"/>
  <c r="K83" i="4"/>
  <c r="K12" i="2" s="1"/>
  <c r="D83" i="4"/>
  <c r="D12" i="2" s="1"/>
  <c r="C83" i="4"/>
  <c r="C12" i="2" s="1"/>
  <c r="J83" i="4"/>
  <c r="J12" i="2" s="1"/>
  <c r="L83" i="4"/>
  <c r="L12" i="2" s="1"/>
  <c r="B53" i="4"/>
  <c r="F83" i="4" l="1"/>
  <c r="F12" i="2" s="1"/>
  <c r="H83" i="4"/>
  <c r="H12" i="2" s="1"/>
  <c r="N83" i="4"/>
  <c r="B83" i="4"/>
  <c r="B12" i="2" s="1"/>
  <c r="O179" i="5"/>
  <c r="N179" i="5"/>
  <c r="M179" i="5"/>
  <c r="L179" i="5"/>
  <c r="K179" i="5"/>
  <c r="J179" i="5"/>
  <c r="I179" i="5"/>
  <c r="H179" i="5"/>
  <c r="G179" i="5"/>
  <c r="F179" i="5"/>
  <c r="E179" i="5"/>
  <c r="D179" i="5"/>
  <c r="P173" i="5"/>
  <c r="O173" i="5"/>
  <c r="N173" i="5"/>
  <c r="M173" i="5"/>
  <c r="L173" i="5"/>
  <c r="K173" i="5"/>
  <c r="J173" i="5"/>
  <c r="I173" i="5"/>
  <c r="H173" i="5"/>
  <c r="G173" i="5"/>
  <c r="F173" i="5"/>
  <c r="E173" i="5"/>
  <c r="D173" i="5"/>
  <c r="P172" i="5"/>
  <c r="O172" i="5"/>
  <c r="N172" i="5"/>
  <c r="M172" i="5"/>
  <c r="L172" i="5"/>
  <c r="K172" i="5"/>
  <c r="J172" i="5"/>
  <c r="I172" i="5"/>
  <c r="H172" i="5"/>
  <c r="G172" i="5"/>
  <c r="F172" i="5"/>
  <c r="E172" i="5"/>
  <c r="D172" i="5"/>
  <c r="P171" i="5"/>
  <c r="O171" i="5"/>
  <c r="M66" i="4" s="1"/>
  <c r="N171" i="5"/>
  <c r="L66" i="4" s="1"/>
  <c r="M171" i="5"/>
  <c r="K66" i="4" s="1"/>
  <c r="L171" i="5"/>
  <c r="J66" i="4" s="1"/>
  <c r="K171" i="5"/>
  <c r="I66" i="4" s="1"/>
  <c r="J171" i="5"/>
  <c r="H66" i="4" s="1"/>
  <c r="I171" i="5"/>
  <c r="G66" i="4" s="1"/>
  <c r="H171" i="5"/>
  <c r="F66" i="4" s="1"/>
  <c r="G171" i="5"/>
  <c r="E66" i="4" s="1"/>
  <c r="F171" i="5"/>
  <c r="D66" i="4" s="1"/>
  <c r="E171" i="5"/>
  <c r="C66" i="4" s="1"/>
  <c r="D171" i="5"/>
  <c r="B66" i="4" s="1"/>
  <c r="P170" i="5"/>
  <c r="O170" i="5"/>
  <c r="M70" i="4" s="1"/>
  <c r="N170" i="5"/>
  <c r="M170" i="5"/>
  <c r="K70" i="4" s="1"/>
  <c r="L170" i="5"/>
  <c r="J70" i="4" s="1"/>
  <c r="K170" i="5"/>
  <c r="J170" i="5"/>
  <c r="I170" i="5"/>
  <c r="H170" i="5"/>
  <c r="F70" i="4" s="1"/>
  <c r="G170" i="5"/>
  <c r="F170" i="5"/>
  <c r="E170" i="5"/>
  <c r="C70" i="4" s="1"/>
  <c r="D170" i="5"/>
  <c r="B70" i="4" s="1"/>
  <c r="P169" i="5"/>
  <c r="O169" i="5"/>
  <c r="M69" i="4" s="1"/>
  <c r="N169" i="5"/>
  <c r="L69" i="4" s="1"/>
  <c r="M169" i="5"/>
  <c r="K69" i="4" s="1"/>
  <c r="L169" i="5"/>
  <c r="J69" i="4" s="1"/>
  <c r="K169" i="5"/>
  <c r="I8" i="4" s="1"/>
  <c r="J169" i="5"/>
  <c r="H8" i="4" s="1"/>
  <c r="I169" i="5"/>
  <c r="G69" i="4" s="1"/>
  <c r="H169" i="5"/>
  <c r="G169" i="5"/>
  <c r="E8" i="4" s="1"/>
  <c r="F169" i="5"/>
  <c r="D69" i="4" s="1"/>
  <c r="E169" i="5"/>
  <c r="C69" i="4" s="1"/>
  <c r="D169" i="5"/>
  <c r="B8" i="4" s="1"/>
  <c r="P168" i="5"/>
  <c r="O168" i="5"/>
  <c r="N168" i="5"/>
  <c r="M168" i="5"/>
  <c r="L168" i="5"/>
  <c r="J68" i="4" s="1"/>
  <c r="K168" i="5"/>
  <c r="I68" i="4" s="1"/>
  <c r="J168" i="5"/>
  <c r="H7" i="4" s="1"/>
  <c r="I168" i="5"/>
  <c r="G68" i="4" s="1"/>
  <c r="H168" i="5"/>
  <c r="G168" i="5"/>
  <c r="F168" i="5"/>
  <c r="E168" i="5"/>
  <c r="O4" i="5"/>
  <c r="N4" i="5"/>
  <c r="M4" i="5"/>
  <c r="L4" i="5"/>
  <c r="K4" i="5"/>
  <c r="J4" i="5"/>
  <c r="I4" i="5"/>
  <c r="H4" i="5"/>
  <c r="G4" i="5"/>
  <c r="F4" i="5"/>
  <c r="E4" i="5"/>
  <c r="D4" i="5"/>
  <c r="A2" i="5"/>
  <c r="D1" i="5"/>
  <c r="M93" i="4"/>
  <c r="L93" i="4"/>
  <c r="K93" i="4"/>
  <c r="J93" i="4"/>
  <c r="I93" i="4"/>
  <c r="H93" i="4"/>
  <c r="G93" i="4"/>
  <c r="F93" i="4"/>
  <c r="E93" i="4"/>
  <c r="D93" i="4"/>
  <c r="C93" i="4"/>
  <c r="B93" i="4"/>
  <c r="M92" i="4"/>
  <c r="L92" i="4"/>
  <c r="K92" i="4"/>
  <c r="J92" i="4"/>
  <c r="I92" i="4"/>
  <c r="H92" i="4"/>
  <c r="G92" i="4"/>
  <c r="F92" i="4"/>
  <c r="E92" i="4"/>
  <c r="D92" i="4"/>
  <c r="C92" i="4"/>
  <c r="B92" i="4"/>
  <c r="M91" i="4"/>
  <c r="L91" i="4"/>
  <c r="K91" i="4"/>
  <c r="J91" i="4"/>
  <c r="I91" i="4"/>
  <c r="H91" i="4"/>
  <c r="G91" i="4"/>
  <c r="F91" i="4"/>
  <c r="E91" i="4"/>
  <c r="D91" i="4"/>
  <c r="C91" i="4"/>
  <c r="B91" i="4"/>
  <c r="M90" i="4"/>
  <c r="L90" i="4"/>
  <c r="K90" i="4"/>
  <c r="J90" i="4"/>
  <c r="I90" i="4"/>
  <c r="H90" i="4"/>
  <c r="G90" i="4"/>
  <c r="F90" i="4"/>
  <c r="E90" i="4"/>
  <c r="D90" i="4"/>
  <c r="C90" i="4"/>
  <c r="B90" i="4"/>
  <c r="M27" i="4"/>
  <c r="L27" i="4"/>
  <c r="K27" i="4"/>
  <c r="J27" i="4"/>
  <c r="I27" i="4"/>
  <c r="H27" i="4"/>
  <c r="G27" i="4"/>
  <c r="F27" i="4"/>
  <c r="E27" i="4"/>
  <c r="D27" i="4"/>
  <c r="C27" i="4"/>
  <c r="N25" i="4"/>
  <c r="L22" i="4"/>
  <c r="M54" i="4"/>
  <c r="L54" i="4"/>
  <c r="K54" i="4"/>
  <c r="J54" i="4"/>
  <c r="I54" i="4"/>
  <c r="H54" i="4"/>
  <c r="G54" i="4"/>
  <c r="F54" i="4"/>
  <c r="E54" i="4"/>
  <c r="D54" i="4"/>
  <c r="C54" i="4"/>
  <c r="B54" i="4"/>
  <c r="M53" i="4"/>
  <c r="L53" i="4"/>
  <c r="K53" i="4"/>
  <c r="J53" i="4"/>
  <c r="I53" i="4"/>
  <c r="H53" i="4"/>
  <c r="G53" i="4"/>
  <c r="F53" i="4"/>
  <c r="E53" i="4"/>
  <c r="D53" i="4"/>
  <c r="C53" i="4"/>
  <c r="M52" i="4"/>
  <c r="L52" i="4"/>
  <c r="K52" i="4"/>
  <c r="J52" i="4"/>
  <c r="I52" i="4"/>
  <c r="H52" i="4"/>
  <c r="G52" i="4"/>
  <c r="F52" i="4"/>
  <c r="E52" i="4"/>
  <c r="D52" i="4"/>
  <c r="C52" i="4"/>
  <c r="B52" i="4"/>
  <c r="M51" i="4"/>
  <c r="L51" i="4"/>
  <c r="K51" i="4"/>
  <c r="J51" i="4"/>
  <c r="I51" i="4"/>
  <c r="H51" i="4"/>
  <c r="G51" i="4"/>
  <c r="F51" i="4"/>
  <c r="E51" i="4"/>
  <c r="D51" i="4"/>
  <c r="C51" i="4"/>
  <c r="B51" i="4"/>
  <c r="M4" i="4"/>
  <c r="L4" i="4"/>
  <c r="K4" i="4"/>
  <c r="J4" i="4"/>
  <c r="I4" i="4"/>
  <c r="H4" i="4"/>
  <c r="G4" i="4"/>
  <c r="F4" i="4"/>
  <c r="E4" i="4"/>
  <c r="D4" i="4"/>
  <c r="C4" i="4"/>
  <c r="B4" i="4"/>
  <c r="A2" i="4"/>
  <c r="I108" i="3"/>
  <c r="I109" i="3" s="1"/>
  <c r="H108" i="3"/>
  <c r="H109" i="3" s="1"/>
  <c r="G108" i="3"/>
  <c r="G109" i="3" s="1"/>
  <c r="E108" i="3"/>
  <c r="E109" i="3" s="1"/>
  <c r="L107" i="3"/>
  <c r="K107" i="3"/>
  <c r="J107" i="3"/>
  <c r="J108" i="3" s="1"/>
  <c r="J109" i="3" s="1"/>
  <c r="L106" i="3"/>
  <c r="K106" i="3"/>
  <c r="L101" i="3"/>
  <c r="K101" i="3"/>
  <c r="J101" i="3"/>
  <c r="I101" i="3"/>
  <c r="H101" i="3"/>
  <c r="G101" i="3"/>
  <c r="L99" i="3"/>
  <c r="K99" i="3"/>
  <c r="J99" i="3"/>
  <c r="I99" i="3"/>
  <c r="H99" i="3"/>
  <c r="G99" i="3"/>
  <c r="L98" i="3"/>
  <c r="K98" i="3"/>
  <c r="J98" i="3"/>
  <c r="I98" i="3"/>
  <c r="H98" i="3"/>
  <c r="G98" i="3"/>
  <c r="G100" i="3" s="1"/>
  <c r="E100" i="3"/>
  <c r="E102" i="3" s="1"/>
  <c r="E103" i="3" s="1"/>
  <c r="L96" i="3"/>
  <c r="K96" i="3"/>
  <c r="J96" i="3"/>
  <c r="I96" i="3"/>
  <c r="L95" i="3"/>
  <c r="J95" i="3"/>
  <c r="L94" i="3"/>
  <c r="K94" i="3"/>
  <c r="J94" i="3"/>
  <c r="I94" i="3"/>
  <c r="H94" i="3"/>
  <c r="G94" i="3"/>
  <c r="L93" i="3"/>
  <c r="K93" i="3"/>
  <c r="J93" i="3"/>
  <c r="I93" i="3"/>
  <c r="H93" i="3"/>
  <c r="G93" i="3"/>
  <c r="J92" i="3"/>
  <c r="L91" i="3"/>
  <c r="K91" i="3"/>
  <c r="J91" i="3"/>
  <c r="I91" i="3"/>
  <c r="H91" i="3"/>
  <c r="G91" i="3"/>
  <c r="L90" i="3"/>
  <c r="K90" i="3"/>
  <c r="J90" i="3"/>
  <c r="I90" i="3"/>
  <c r="H90" i="3"/>
  <c r="G90" i="3"/>
  <c r="L89" i="3"/>
  <c r="K89" i="3"/>
  <c r="J89" i="3"/>
  <c r="I89" i="3"/>
  <c r="H89" i="3"/>
  <c r="G89" i="3"/>
  <c r="L88" i="3"/>
  <c r="K88" i="3"/>
  <c r="J88" i="3"/>
  <c r="I88" i="3"/>
  <c r="H88" i="3"/>
  <c r="G88" i="3"/>
  <c r="L87" i="3"/>
  <c r="K87" i="3"/>
  <c r="J87" i="3"/>
  <c r="I87" i="3"/>
  <c r="H87" i="3"/>
  <c r="G87" i="3"/>
  <c r="L86" i="3"/>
  <c r="L85" i="3"/>
  <c r="K85" i="3"/>
  <c r="J85" i="3"/>
  <c r="I85" i="3"/>
  <c r="H85" i="3"/>
  <c r="G85" i="3"/>
  <c r="L84" i="3"/>
  <c r="L83" i="3"/>
  <c r="L82" i="3"/>
  <c r="K82" i="3"/>
  <c r="J82" i="3"/>
  <c r="I82" i="3"/>
  <c r="H82" i="3"/>
  <c r="G82" i="3"/>
  <c r="L81" i="3"/>
  <c r="K81" i="3"/>
  <c r="J81" i="3"/>
  <c r="I81" i="3"/>
  <c r="H81" i="3"/>
  <c r="G81" i="3"/>
  <c r="L80" i="3"/>
  <c r="K80" i="3"/>
  <c r="J80" i="3"/>
  <c r="I80" i="3"/>
  <c r="H80" i="3"/>
  <c r="G80" i="3"/>
  <c r="L79" i="3"/>
  <c r="K79" i="3"/>
  <c r="L78" i="3"/>
  <c r="K78" i="3"/>
  <c r="J78" i="3"/>
  <c r="I78" i="3"/>
  <c r="H78" i="3"/>
  <c r="G78" i="3"/>
  <c r="L77" i="3"/>
  <c r="K77" i="3"/>
  <c r="J77" i="3"/>
  <c r="I77" i="3"/>
  <c r="H77" i="3"/>
  <c r="G77" i="3"/>
  <c r="L75" i="3"/>
  <c r="K75" i="3"/>
  <c r="J75" i="3"/>
  <c r="I75" i="3"/>
  <c r="H75" i="3"/>
  <c r="G75" i="3"/>
  <c r="L74" i="3"/>
  <c r="K74" i="3"/>
  <c r="I74" i="3"/>
  <c r="H74" i="3"/>
  <c r="G74" i="3"/>
  <c r="L73" i="3"/>
  <c r="K73" i="3"/>
  <c r="J73" i="3"/>
  <c r="I73" i="3"/>
  <c r="H73" i="3"/>
  <c r="G73" i="3"/>
  <c r="L72" i="3"/>
  <c r="K72" i="3"/>
  <c r="J72" i="3"/>
  <c r="I72" i="3"/>
  <c r="H72" i="3"/>
  <c r="G72" i="3"/>
  <c r="K71" i="3"/>
  <c r="J71" i="3"/>
  <c r="I71" i="3"/>
  <c r="H71" i="3"/>
  <c r="G71" i="3"/>
  <c r="L70" i="3"/>
  <c r="K70" i="3"/>
  <c r="J70" i="3"/>
  <c r="I70" i="3"/>
  <c r="H70" i="3"/>
  <c r="G70" i="3"/>
  <c r="L69" i="3"/>
  <c r="K69" i="3"/>
  <c r="J69" i="3"/>
  <c r="I69" i="3"/>
  <c r="H69" i="3"/>
  <c r="G69" i="3"/>
  <c r="L68" i="3"/>
  <c r="K68" i="3"/>
  <c r="J68" i="3"/>
  <c r="I68" i="3"/>
  <c r="H68" i="3"/>
  <c r="G68" i="3"/>
  <c r="L67" i="3"/>
  <c r="K67" i="3"/>
  <c r="J67" i="3"/>
  <c r="I67" i="3"/>
  <c r="H67" i="3"/>
  <c r="G67" i="3"/>
  <c r="L66" i="3"/>
  <c r="J66" i="3"/>
  <c r="I66" i="3"/>
  <c r="H66" i="3"/>
  <c r="G66" i="3"/>
  <c r="L65" i="3"/>
  <c r="K65" i="3"/>
  <c r="J65" i="3"/>
  <c r="I65" i="3"/>
  <c r="L62" i="3"/>
  <c r="K62" i="3"/>
  <c r="J62" i="3"/>
  <c r="I62" i="3"/>
  <c r="H62" i="3"/>
  <c r="G62" i="3"/>
  <c r="L61" i="3"/>
  <c r="K61" i="3"/>
  <c r="J61" i="3"/>
  <c r="I61" i="3"/>
  <c r="H61" i="3"/>
  <c r="G61" i="3"/>
  <c r="L60" i="3"/>
  <c r="K60" i="3"/>
  <c r="J60" i="3"/>
  <c r="I60" i="3"/>
  <c r="H60" i="3"/>
  <c r="G60" i="3"/>
  <c r="L59" i="3"/>
  <c r="K59" i="3"/>
  <c r="J59" i="3"/>
  <c r="I59" i="3"/>
  <c r="H59" i="3"/>
  <c r="G59" i="3"/>
  <c r="L58" i="3"/>
  <c r="K58" i="3"/>
  <c r="J58" i="3"/>
  <c r="I58" i="3"/>
  <c r="H58" i="3"/>
  <c r="G58" i="3"/>
  <c r="K57" i="3"/>
  <c r="L56" i="3"/>
  <c r="K56" i="3"/>
  <c r="J56" i="3"/>
  <c r="I56" i="3"/>
  <c r="H56" i="3"/>
  <c r="G56" i="3"/>
  <c r="L55" i="3"/>
  <c r="K55" i="3"/>
  <c r="J55" i="3"/>
  <c r="I55" i="3"/>
  <c r="H55" i="3"/>
  <c r="G55" i="3"/>
  <c r="L54" i="3"/>
  <c r="K54" i="3"/>
  <c r="J54" i="3"/>
  <c r="I54" i="3"/>
  <c r="H54" i="3"/>
  <c r="G54" i="3"/>
  <c r="L53" i="3"/>
  <c r="K53" i="3"/>
  <c r="J53" i="3"/>
  <c r="I53" i="3"/>
  <c r="L52" i="3"/>
  <c r="K52" i="3"/>
  <c r="J52" i="3"/>
  <c r="I52" i="3"/>
  <c r="H52" i="3"/>
  <c r="G52" i="3"/>
  <c r="L51" i="3"/>
  <c r="K51" i="3"/>
  <c r="J51" i="3"/>
  <c r="I51" i="3"/>
  <c r="H51" i="3"/>
  <c r="G51" i="3"/>
  <c r="L50" i="3"/>
  <c r="K50" i="3"/>
  <c r="J50" i="3"/>
  <c r="I50" i="3"/>
  <c r="H50" i="3"/>
  <c r="G50" i="3"/>
  <c r="L49" i="3"/>
  <c r="K49" i="3"/>
  <c r="J49" i="3"/>
  <c r="I49" i="3"/>
  <c r="H49" i="3"/>
  <c r="G49" i="3"/>
  <c r="L48" i="3"/>
  <c r="K48" i="3"/>
  <c r="J48" i="3"/>
  <c r="I48" i="3"/>
  <c r="H48" i="3"/>
  <c r="G48" i="3"/>
  <c r="L47" i="3"/>
  <c r="K47" i="3"/>
  <c r="J47" i="3"/>
  <c r="I47" i="3"/>
  <c r="H47" i="3"/>
  <c r="G47" i="3"/>
  <c r="L46" i="3"/>
  <c r="K46" i="3"/>
  <c r="J46" i="3"/>
  <c r="I46" i="3"/>
  <c r="H46" i="3"/>
  <c r="G46" i="3"/>
  <c r="I43" i="3"/>
  <c r="L41" i="3"/>
  <c r="K41" i="3"/>
  <c r="J41" i="3"/>
  <c r="I41" i="3"/>
  <c r="H41" i="3"/>
  <c r="G41" i="3"/>
  <c r="K40" i="3"/>
  <c r="J40" i="3"/>
  <c r="I40" i="3"/>
  <c r="H40" i="3"/>
  <c r="G40" i="3"/>
  <c r="L39" i="3"/>
  <c r="K39" i="3"/>
  <c r="J39" i="3"/>
  <c r="I39" i="3"/>
  <c r="H39" i="3"/>
  <c r="G39" i="3"/>
  <c r="K38" i="3"/>
  <c r="L36" i="3"/>
  <c r="K36" i="3"/>
  <c r="J36" i="3"/>
  <c r="I36" i="3"/>
  <c r="H36" i="3"/>
  <c r="G36" i="3"/>
  <c r="L35" i="3"/>
  <c r="K35" i="3"/>
  <c r="J35" i="3"/>
  <c r="I35" i="3"/>
  <c r="L34" i="3"/>
  <c r="K34" i="3"/>
  <c r="J34" i="3"/>
  <c r="I34" i="3"/>
  <c r="H34" i="3"/>
  <c r="G34" i="3"/>
  <c r="L33" i="3"/>
  <c r="K33" i="3"/>
  <c r="J33" i="3"/>
  <c r="I33" i="3"/>
  <c r="H33" i="3"/>
  <c r="G33" i="3"/>
  <c r="L32" i="3"/>
  <c r="K32" i="3"/>
  <c r="J32" i="3"/>
  <c r="I32" i="3"/>
  <c r="H32" i="3"/>
  <c r="G32" i="3"/>
  <c r="L31" i="3"/>
  <c r="K31" i="3"/>
  <c r="J31" i="3"/>
  <c r="I31" i="3"/>
  <c r="H31" i="3"/>
  <c r="G31" i="3"/>
  <c r="J30" i="3"/>
  <c r="I30" i="3"/>
  <c r="H30" i="3"/>
  <c r="G30" i="3"/>
  <c r="L29" i="3"/>
  <c r="K29" i="3"/>
  <c r="J29" i="3"/>
  <c r="I29" i="3"/>
  <c r="H29" i="3"/>
  <c r="G29" i="3"/>
  <c r="L28" i="3"/>
  <c r="J28" i="3"/>
  <c r="H28" i="3"/>
  <c r="G28" i="3"/>
  <c r="L27" i="3"/>
  <c r="K27" i="3"/>
  <c r="J27" i="3"/>
  <c r="I27" i="3"/>
  <c r="H27" i="3"/>
  <c r="G27" i="3"/>
  <c r="L26" i="3"/>
  <c r="K26" i="3"/>
  <c r="J26" i="3"/>
  <c r="I26" i="3"/>
  <c r="K22" i="3"/>
  <c r="J22" i="3"/>
  <c r="K21" i="3"/>
  <c r="J21" i="3"/>
  <c r="I21" i="3"/>
  <c r="H21" i="3"/>
  <c r="G21" i="3"/>
  <c r="L20" i="3"/>
  <c r="L19" i="3"/>
  <c r="K19" i="3"/>
  <c r="J19" i="3"/>
  <c r="I19" i="3"/>
  <c r="H19" i="3"/>
  <c r="G19" i="3"/>
  <c r="G18" i="3"/>
  <c r="L17" i="3"/>
  <c r="K17" i="3"/>
  <c r="J17" i="3"/>
  <c r="I17" i="3"/>
  <c r="H17" i="3"/>
  <c r="G17" i="3"/>
  <c r="I16" i="3"/>
  <c r="H16" i="3"/>
  <c r="G16" i="3"/>
  <c r="I15" i="3"/>
  <c r="H15" i="3"/>
  <c r="G15" i="3"/>
  <c r="I14" i="3"/>
  <c r="H14" i="3"/>
  <c r="G14" i="3"/>
  <c r="L13" i="3"/>
  <c r="K13" i="3"/>
  <c r="J13" i="3"/>
  <c r="I13" i="3"/>
  <c r="H13" i="3"/>
  <c r="G13" i="3"/>
  <c r="L12" i="3"/>
  <c r="K12" i="3"/>
  <c r="J12" i="3"/>
  <c r="I12" i="3"/>
  <c r="H12" i="3"/>
  <c r="G12" i="3"/>
  <c r="L10" i="3"/>
  <c r="K10" i="3"/>
  <c r="J10" i="3"/>
  <c r="I10" i="3"/>
  <c r="H10" i="3"/>
  <c r="G10" i="3"/>
  <c r="L9" i="3"/>
  <c r="L11" i="3" s="1"/>
  <c r="K9" i="3"/>
  <c r="J9" i="3"/>
  <c r="I9" i="3"/>
  <c r="H9" i="3"/>
  <c r="G9" i="3"/>
  <c r="F11" i="3"/>
  <c r="F23" i="3" s="1"/>
  <c r="J8" i="3"/>
  <c r="B5" i="3"/>
  <c r="M82" i="2"/>
  <c r="G82" i="2"/>
  <c r="M81" i="2"/>
  <c r="L81" i="2"/>
  <c r="K81" i="2"/>
  <c r="J81" i="2"/>
  <c r="I81" i="2"/>
  <c r="G81" i="2"/>
  <c r="F81" i="2"/>
  <c r="E81" i="2"/>
  <c r="D81" i="2"/>
  <c r="C81" i="2"/>
  <c r="N80" i="2"/>
  <c r="H81" i="2"/>
  <c r="N78" i="2"/>
  <c r="B77" i="2"/>
  <c r="C77" i="2" s="1"/>
  <c r="D77" i="2" s="1"/>
  <c r="E77" i="2" s="1"/>
  <c r="F77" i="2" s="1"/>
  <c r="G77" i="2" s="1"/>
  <c r="H77" i="2" s="1"/>
  <c r="I77" i="2" s="1"/>
  <c r="J77" i="2" s="1"/>
  <c r="K77" i="2" s="1"/>
  <c r="L77" i="2" s="1"/>
  <c r="B76" i="2"/>
  <c r="B75" i="2"/>
  <c r="M74" i="2"/>
  <c r="L74" i="2"/>
  <c r="K74" i="2"/>
  <c r="J74" i="2"/>
  <c r="I74" i="2"/>
  <c r="H74" i="2"/>
  <c r="G74" i="2"/>
  <c r="F74" i="2"/>
  <c r="E74" i="2"/>
  <c r="D74" i="2"/>
  <c r="C74" i="2"/>
  <c r="B74" i="2"/>
  <c r="B73" i="2"/>
  <c r="C73" i="2" s="1"/>
  <c r="D73" i="2" s="1"/>
  <c r="E73" i="2" s="1"/>
  <c r="F73" i="2" s="1"/>
  <c r="G73" i="2" s="1"/>
  <c r="H73" i="2" s="1"/>
  <c r="I73" i="2" s="1"/>
  <c r="J73" i="2" s="1"/>
  <c r="K73" i="2" s="1"/>
  <c r="L73" i="2" s="1"/>
  <c r="B72" i="2"/>
  <c r="B71" i="2"/>
  <c r="C71" i="2" s="1"/>
  <c r="D71" i="2" s="1"/>
  <c r="E71" i="2" s="1"/>
  <c r="F71" i="2" s="1"/>
  <c r="G71" i="2" s="1"/>
  <c r="H71" i="2" s="1"/>
  <c r="I71" i="2" s="1"/>
  <c r="J71" i="2" s="1"/>
  <c r="K71" i="2" s="1"/>
  <c r="L71" i="2" s="1"/>
  <c r="B70" i="2"/>
  <c r="B69" i="2"/>
  <c r="C69" i="2" s="1"/>
  <c r="D69" i="2" s="1"/>
  <c r="E69" i="2" s="1"/>
  <c r="F69" i="2" s="1"/>
  <c r="G69" i="2" s="1"/>
  <c r="H69" i="2" s="1"/>
  <c r="I69" i="2" s="1"/>
  <c r="J69" i="2" s="1"/>
  <c r="K69" i="2" s="1"/>
  <c r="B68" i="2"/>
  <c r="C68" i="2" s="1"/>
  <c r="D68" i="2" s="1"/>
  <c r="E68" i="2" s="1"/>
  <c r="F68" i="2" s="1"/>
  <c r="G68" i="2" s="1"/>
  <c r="H68" i="2" s="1"/>
  <c r="I68" i="2" s="1"/>
  <c r="J68" i="2" s="1"/>
  <c r="K68" i="2" s="1"/>
  <c r="L68" i="2" s="1"/>
  <c r="B67" i="2"/>
  <c r="B66" i="2"/>
  <c r="C66" i="2" s="1"/>
  <c r="D66" i="2" s="1"/>
  <c r="E66" i="2" s="1"/>
  <c r="F66" i="2" s="1"/>
  <c r="G66" i="2" s="1"/>
  <c r="H66" i="2" s="1"/>
  <c r="I66" i="2" s="1"/>
  <c r="J66" i="2" s="1"/>
  <c r="K66" i="2" s="1"/>
  <c r="L66" i="2" s="1"/>
  <c r="B65" i="2"/>
  <c r="C65" i="2" s="1"/>
  <c r="D65" i="2" s="1"/>
  <c r="E65" i="2" s="1"/>
  <c r="F65" i="2" s="1"/>
  <c r="G65" i="2" s="1"/>
  <c r="H65" i="2" s="1"/>
  <c r="I65" i="2" s="1"/>
  <c r="J65" i="2" s="1"/>
  <c r="K65" i="2" s="1"/>
  <c r="L65" i="2" s="1"/>
  <c r="B64" i="2"/>
  <c r="B62" i="2"/>
  <c r="C62" i="2" s="1"/>
  <c r="D62" i="2" s="1"/>
  <c r="E62" i="2" s="1"/>
  <c r="F62" i="2" s="1"/>
  <c r="G62" i="2" s="1"/>
  <c r="H62" i="2" s="1"/>
  <c r="I62" i="2" s="1"/>
  <c r="J62" i="2" s="1"/>
  <c r="K62" i="2" s="1"/>
  <c r="L62" i="2" s="1"/>
  <c r="B61" i="2"/>
  <c r="C61" i="2" s="1"/>
  <c r="D61" i="2" s="1"/>
  <c r="E61" i="2" s="1"/>
  <c r="F61" i="2" s="1"/>
  <c r="G61" i="2" s="1"/>
  <c r="H61" i="2" s="1"/>
  <c r="I61" i="2" s="1"/>
  <c r="J61" i="2" s="1"/>
  <c r="K61" i="2" s="1"/>
  <c r="L61" i="2" s="1"/>
  <c r="B60" i="2"/>
  <c r="C60" i="2" s="1"/>
  <c r="D60" i="2" s="1"/>
  <c r="E60" i="2" s="1"/>
  <c r="F60" i="2" s="1"/>
  <c r="G60" i="2" s="1"/>
  <c r="H60" i="2" s="1"/>
  <c r="I60" i="2" s="1"/>
  <c r="J60" i="2" s="1"/>
  <c r="K60" i="2" s="1"/>
  <c r="L60" i="2" s="1"/>
  <c r="B59" i="2"/>
  <c r="B58" i="2"/>
  <c r="C57" i="2"/>
  <c r="K56" i="2"/>
  <c r="H56" i="2"/>
  <c r="E56" i="2"/>
  <c r="B56" i="2"/>
  <c r="J55" i="2"/>
  <c r="H55" i="2"/>
  <c r="D55" i="2"/>
  <c r="B55" i="2"/>
  <c r="H54" i="2"/>
  <c r="B54" i="2"/>
  <c r="N54" i="2" s="1"/>
  <c r="M51" i="2"/>
  <c r="L51" i="2"/>
  <c r="G51" i="2"/>
  <c r="F51" i="2"/>
  <c r="B50" i="2"/>
  <c r="C50" i="2" s="1"/>
  <c r="D50" i="2" s="1"/>
  <c r="E50" i="2" s="1"/>
  <c r="F50" i="2" s="1"/>
  <c r="G50" i="2" s="1"/>
  <c r="H50" i="2" s="1"/>
  <c r="I50" i="2" s="1"/>
  <c r="J50" i="2" s="1"/>
  <c r="K50" i="2" s="1"/>
  <c r="L50" i="2" s="1"/>
  <c r="B49" i="2"/>
  <c r="C47" i="2"/>
  <c r="C46" i="2"/>
  <c r="D46" i="2" s="1"/>
  <c r="E46" i="2" s="1"/>
  <c r="F46" i="2" s="1"/>
  <c r="G46" i="2" s="1"/>
  <c r="H46" i="2" s="1"/>
  <c r="I46" i="2" s="1"/>
  <c r="C45" i="2"/>
  <c r="D45" i="2" s="1"/>
  <c r="E45" i="2" s="1"/>
  <c r="F45" i="2" s="1"/>
  <c r="G45" i="2" s="1"/>
  <c r="H45" i="2" s="1"/>
  <c r="I45" i="2" s="1"/>
  <c r="J45" i="2" s="1"/>
  <c r="K45" i="2" s="1"/>
  <c r="L45" i="2" s="1"/>
  <c r="B43" i="2"/>
  <c r="C43" i="2" s="1"/>
  <c r="D43" i="2" s="1"/>
  <c r="E43" i="2" s="1"/>
  <c r="F43" i="2" s="1"/>
  <c r="G43" i="2" s="1"/>
  <c r="H43" i="2" s="1"/>
  <c r="I43" i="2" s="1"/>
  <c r="J43" i="2" s="1"/>
  <c r="K43" i="2" s="1"/>
  <c r="L43" i="2" s="1"/>
  <c r="N41" i="2"/>
  <c r="C39" i="2"/>
  <c r="D39" i="2" s="1"/>
  <c r="E39" i="2" s="1"/>
  <c r="F39" i="2" s="1"/>
  <c r="G39" i="2" s="1"/>
  <c r="H39" i="2" s="1"/>
  <c r="I39" i="2" s="1"/>
  <c r="J39" i="2" s="1"/>
  <c r="K39" i="2" s="1"/>
  <c r="L39" i="2" s="1"/>
  <c r="C33" i="2"/>
  <c r="C32" i="2"/>
  <c r="D32" i="2" s="1"/>
  <c r="E32" i="2" s="1"/>
  <c r="F32" i="2" s="1"/>
  <c r="G32" i="2" s="1"/>
  <c r="H32" i="2" s="1"/>
  <c r="I32" i="2" s="1"/>
  <c r="B31" i="2"/>
  <c r="B34" i="2" s="1"/>
  <c r="M30" i="2"/>
  <c r="L30" i="2"/>
  <c r="K30" i="2"/>
  <c r="J30" i="2"/>
  <c r="I30" i="2"/>
  <c r="H30" i="2"/>
  <c r="G30" i="2"/>
  <c r="F30" i="2"/>
  <c r="E30" i="2"/>
  <c r="D30" i="2"/>
  <c r="C30" i="2"/>
  <c r="B30" i="2"/>
  <c r="N29" i="2"/>
  <c r="N28" i="2"/>
  <c r="N27" i="2"/>
  <c r="N26" i="2"/>
  <c r="N25" i="2"/>
  <c r="N24" i="2"/>
  <c r="N22" i="2"/>
  <c r="N21" i="2"/>
  <c r="N19" i="2"/>
  <c r="B15" i="2"/>
  <c r="C15" i="2" s="1"/>
  <c r="D15" i="2" s="1"/>
  <c r="E15" i="2" s="1"/>
  <c r="F15" i="2" s="1"/>
  <c r="G15" i="2" s="1"/>
  <c r="H15" i="2" s="1"/>
  <c r="I15" i="2" s="1"/>
  <c r="J15" i="2" s="1"/>
  <c r="K15" i="2" s="1"/>
  <c r="L15" i="2" s="1"/>
  <c r="B14" i="2"/>
  <c r="M8" i="2"/>
  <c r="L8" i="2"/>
  <c r="K8" i="2"/>
  <c r="J8" i="2"/>
  <c r="I8" i="2"/>
  <c r="H8" i="2"/>
  <c r="G8" i="2"/>
  <c r="F8" i="2"/>
  <c r="E8" i="2"/>
  <c r="D8" i="2"/>
  <c r="C8" i="2"/>
  <c r="B8" i="2"/>
  <c r="N7" i="2"/>
  <c r="N6" i="2"/>
  <c r="N8" i="2" s="1"/>
  <c r="M4" i="2"/>
  <c r="L4" i="2"/>
  <c r="K4" i="2"/>
  <c r="J4" i="2"/>
  <c r="I4" i="2"/>
  <c r="H4" i="2"/>
  <c r="G4" i="2"/>
  <c r="F4" i="2"/>
  <c r="E4" i="2"/>
  <c r="D4" i="2"/>
  <c r="C4" i="2"/>
  <c r="B4" i="2"/>
  <c r="A2" i="2"/>
  <c r="F24" i="3" l="1"/>
  <c r="F104" i="3"/>
  <c r="F110" i="3" s="1"/>
  <c r="L100" i="3"/>
  <c r="K108" i="3"/>
  <c r="K109" i="3" s="1"/>
  <c r="N27" i="4"/>
  <c r="N12" i="2"/>
  <c r="N30" i="2"/>
  <c r="N51" i="2"/>
  <c r="N74" i="2"/>
  <c r="N82" i="2"/>
  <c r="C58" i="2"/>
  <c r="L76" i="3"/>
  <c r="L102" i="3" s="1"/>
  <c r="K37" i="3"/>
  <c r="K44" i="3" s="1"/>
  <c r="L37" i="3"/>
  <c r="L23" i="3"/>
  <c r="L24" i="3" s="1"/>
  <c r="I37" i="3"/>
  <c r="H63" i="3"/>
  <c r="K100" i="3"/>
  <c r="J11" i="3"/>
  <c r="J23" i="3" s="1"/>
  <c r="J24" i="3" s="1"/>
  <c r="J42" i="3"/>
  <c r="K11" i="3"/>
  <c r="K23" i="3" s="1"/>
  <c r="K24" i="3" s="1"/>
  <c r="G37" i="3"/>
  <c r="G63" i="3"/>
  <c r="J100" i="3"/>
  <c r="L63" i="3"/>
  <c r="I63" i="3"/>
  <c r="H37" i="3"/>
  <c r="G11" i="3"/>
  <c r="G23" i="3" s="1"/>
  <c r="G24" i="3" s="1"/>
  <c r="K63" i="3"/>
  <c r="H42" i="3"/>
  <c r="I11" i="3"/>
  <c r="I23" i="3" s="1"/>
  <c r="I24" i="3" s="1"/>
  <c r="I42" i="3"/>
  <c r="K23" i="4"/>
  <c r="B23" i="4"/>
  <c r="I69" i="4"/>
  <c r="E68" i="4"/>
  <c r="M8" i="4"/>
  <c r="L70" i="4"/>
  <c r="H69" i="4"/>
  <c r="L8" i="4"/>
  <c r="K8" i="4"/>
  <c r="J86" i="4"/>
  <c r="J8" i="4"/>
  <c r="I7" i="4"/>
  <c r="E69" i="4"/>
  <c r="C31" i="2"/>
  <c r="D31" i="2" s="1"/>
  <c r="E31" i="2" s="1"/>
  <c r="B35" i="2"/>
  <c r="G23" i="4"/>
  <c r="D23" i="4"/>
  <c r="C23" i="4"/>
  <c r="J7" i="4"/>
  <c r="G70" i="4"/>
  <c r="G86" i="4" s="1"/>
  <c r="P175" i="5"/>
  <c r="D8" i="4"/>
  <c r="G8" i="4"/>
  <c r="C8" i="4"/>
  <c r="E23" i="4"/>
  <c r="F23" i="4"/>
  <c r="H23" i="4"/>
  <c r="I23" i="4"/>
  <c r="J23" i="4"/>
  <c r="L23" i="4"/>
  <c r="L24" i="4" s="1"/>
  <c r="C55" i="4"/>
  <c r="F94" i="4"/>
  <c r="F10" i="2" s="1"/>
  <c r="G94" i="4"/>
  <c r="G10" i="2" s="1"/>
  <c r="J94" i="4"/>
  <c r="J10" i="2" s="1"/>
  <c r="H12" i="4"/>
  <c r="H26" i="4" s="1"/>
  <c r="I18" i="4"/>
  <c r="J18" i="4"/>
  <c r="B18" i="4"/>
  <c r="L18" i="4"/>
  <c r="M18" i="4"/>
  <c r="B94" i="4"/>
  <c r="B10" i="2" s="1"/>
  <c r="N16" i="4"/>
  <c r="H94" i="4"/>
  <c r="H10" i="2" s="1"/>
  <c r="I94" i="4"/>
  <c r="I10" i="2" s="1"/>
  <c r="N93" i="4"/>
  <c r="F22" i="4"/>
  <c r="M23" i="4"/>
  <c r="G22" i="4"/>
  <c r="M94" i="4"/>
  <c r="M10" i="2" s="1"/>
  <c r="N51" i="4"/>
  <c r="N17" i="4"/>
  <c r="E22" i="4"/>
  <c r="E18" i="4"/>
  <c r="J22" i="4"/>
  <c r="F18" i="4"/>
  <c r="K22" i="4"/>
  <c r="G18" i="4"/>
  <c r="J46" i="2"/>
  <c r="K46" i="2" s="1"/>
  <c r="L46" i="2" s="1"/>
  <c r="N67" i="4"/>
  <c r="N55" i="2"/>
  <c r="L69" i="2"/>
  <c r="M69" i="2" s="1"/>
  <c r="B63" i="2"/>
  <c r="E70" i="4"/>
  <c r="E12" i="4"/>
  <c r="E26" i="4" s="1"/>
  <c r="C70" i="2"/>
  <c r="D70" i="2" s="1"/>
  <c r="E70" i="2" s="1"/>
  <c r="F70" i="2" s="1"/>
  <c r="G70" i="2" s="1"/>
  <c r="H70" i="2" s="1"/>
  <c r="I70" i="2" s="1"/>
  <c r="J70" i="2" s="1"/>
  <c r="K70" i="2" s="1"/>
  <c r="L70" i="2" s="1"/>
  <c r="M39" i="2"/>
  <c r="N39" i="2" s="1"/>
  <c r="N79" i="2"/>
  <c r="B81" i="2"/>
  <c r="N81" i="2" s="1"/>
  <c r="N91" i="4"/>
  <c r="C76" i="2"/>
  <c r="D76" i="2" s="1"/>
  <c r="E76" i="2" s="1"/>
  <c r="F76" i="2" s="1"/>
  <c r="G76" i="2" s="1"/>
  <c r="H76" i="2" s="1"/>
  <c r="I76" i="2" s="1"/>
  <c r="J76" i="2" s="1"/>
  <c r="K76" i="2" s="1"/>
  <c r="L76" i="2" s="1"/>
  <c r="M68" i="2"/>
  <c r="N68" i="2" s="1"/>
  <c r="N15" i="4"/>
  <c r="M73" i="2"/>
  <c r="N73" i="2" s="1"/>
  <c r="J63" i="3"/>
  <c r="C59" i="2"/>
  <c r="G76" i="3"/>
  <c r="G102" i="3" s="1"/>
  <c r="D47" i="2"/>
  <c r="E47" i="2" s="1"/>
  <c r="F47" i="2" s="1"/>
  <c r="G47" i="2" s="1"/>
  <c r="H47" i="2" s="1"/>
  <c r="I47" i="2" s="1"/>
  <c r="J47" i="2" s="1"/>
  <c r="K47" i="2" s="1"/>
  <c r="L47" i="2" s="1"/>
  <c r="N56" i="2"/>
  <c r="J76" i="3"/>
  <c r="M15" i="2"/>
  <c r="N15" i="2" s="1"/>
  <c r="F69" i="4"/>
  <c r="F8" i="4"/>
  <c r="N92" i="4"/>
  <c r="G42" i="3"/>
  <c r="M43" i="2"/>
  <c r="N43" i="2" s="1"/>
  <c r="H11" i="3"/>
  <c r="H23" i="3" s="1"/>
  <c r="H24" i="3" s="1"/>
  <c r="C72" i="2"/>
  <c r="D72" i="2" s="1"/>
  <c r="E72" i="2" s="1"/>
  <c r="F72" i="2" s="1"/>
  <c r="G72" i="2" s="1"/>
  <c r="H72" i="2" s="1"/>
  <c r="I72" i="2" s="1"/>
  <c r="J72" i="2" s="1"/>
  <c r="K72" i="2" s="1"/>
  <c r="L72" i="2" s="1"/>
  <c r="N175" i="5"/>
  <c r="L68" i="4"/>
  <c r="L7" i="4"/>
  <c r="C67" i="2"/>
  <c r="D67" i="2" s="1"/>
  <c r="E67" i="2" s="1"/>
  <c r="F67" i="2" s="1"/>
  <c r="G67" i="2" s="1"/>
  <c r="H67" i="2" s="1"/>
  <c r="I67" i="2" s="1"/>
  <c r="J67" i="2" s="1"/>
  <c r="K67" i="2" s="1"/>
  <c r="L67" i="2" s="1"/>
  <c r="N53" i="4"/>
  <c r="E94" i="4"/>
  <c r="E10" i="2" s="1"/>
  <c r="N90" i="4"/>
  <c r="M50" i="2"/>
  <c r="N50" i="2" s="1"/>
  <c r="M65" i="2"/>
  <c r="N65" i="2" s="1"/>
  <c r="C75" i="2"/>
  <c r="D75" i="2" s="1"/>
  <c r="E75" i="2" s="1"/>
  <c r="F75" i="2" s="1"/>
  <c r="G75" i="2" s="1"/>
  <c r="H75" i="2" s="1"/>
  <c r="I75" i="2" s="1"/>
  <c r="J75" i="2" s="1"/>
  <c r="K75" i="2" s="1"/>
  <c r="L75" i="2" s="1"/>
  <c r="K94" i="4"/>
  <c r="K10" i="2" s="1"/>
  <c r="J37" i="3"/>
  <c r="J44" i="3" s="1"/>
  <c r="H76" i="3"/>
  <c r="K42" i="3"/>
  <c r="K76" i="3"/>
  <c r="N54" i="4"/>
  <c r="C18" i="4"/>
  <c r="B69" i="4"/>
  <c r="C64" i="2"/>
  <c r="D64" i="2" s="1"/>
  <c r="E64" i="2" s="1"/>
  <c r="F64" i="2" s="1"/>
  <c r="G64" i="2" s="1"/>
  <c r="H64" i="2" s="1"/>
  <c r="I64" i="2" s="1"/>
  <c r="J64" i="2" s="1"/>
  <c r="K64" i="2" s="1"/>
  <c r="L64" i="2" s="1"/>
  <c r="O175" i="5"/>
  <c r="M68" i="4"/>
  <c r="M86" i="4" s="1"/>
  <c r="M7" i="4"/>
  <c r="D70" i="4"/>
  <c r="M62" i="2"/>
  <c r="N62" i="2" s="1"/>
  <c r="C14" i="2"/>
  <c r="D14" i="2" s="1"/>
  <c r="E14" i="2" s="1"/>
  <c r="F14" i="2" s="1"/>
  <c r="G14" i="2" s="1"/>
  <c r="H14" i="2" s="1"/>
  <c r="I14" i="2" s="1"/>
  <c r="J14" i="2" s="1"/>
  <c r="K14" i="2" s="1"/>
  <c r="L14" i="2" s="1"/>
  <c r="I70" i="4"/>
  <c r="B55" i="4"/>
  <c r="H70" i="4"/>
  <c r="L94" i="4"/>
  <c r="L10" i="2" s="1"/>
  <c r="M71" i="2"/>
  <c r="N71" i="2" s="1"/>
  <c r="L42" i="3"/>
  <c r="L44" i="3" s="1"/>
  <c r="M45" i="2"/>
  <c r="N45" i="2" s="1"/>
  <c r="M61" i="2"/>
  <c r="N61" i="2" s="1"/>
  <c r="J32" i="2"/>
  <c r="K32" i="2" s="1"/>
  <c r="L32" i="2" s="1"/>
  <c r="M77" i="2"/>
  <c r="N77" i="2" s="1"/>
  <c r="I76" i="3"/>
  <c r="N52" i="4"/>
  <c r="D175" i="5"/>
  <c r="B68" i="4"/>
  <c r="E175" i="5"/>
  <c r="C68" i="4"/>
  <c r="C86" i="4" s="1"/>
  <c r="D33" i="2"/>
  <c r="E33" i="2" s="1"/>
  <c r="F33" i="2" s="1"/>
  <c r="G33" i="2" s="1"/>
  <c r="H33" i="2" s="1"/>
  <c r="I33" i="2" s="1"/>
  <c r="J33" i="2" s="1"/>
  <c r="K33" i="2" s="1"/>
  <c r="L33" i="2" s="1"/>
  <c r="M22" i="4"/>
  <c r="I22" i="4"/>
  <c r="H22" i="4"/>
  <c r="B22" i="4"/>
  <c r="D22" i="4"/>
  <c r="C22" i="4"/>
  <c r="M60" i="2"/>
  <c r="N60" i="2" s="1"/>
  <c r="M66" i="2"/>
  <c r="N66" i="2" s="1"/>
  <c r="C44" i="2"/>
  <c r="D44" i="2" s="1"/>
  <c r="E44" i="2" s="1"/>
  <c r="F44" i="2" s="1"/>
  <c r="G44" i="2" s="1"/>
  <c r="H44" i="2" s="1"/>
  <c r="I44" i="2" s="1"/>
  <c r="J44" i="2" s="1"/>
  <c r="K44" i="2" s="1"/>
  <c r="L44" i="2" s="1"/>
  <c r="L108" i="3"/>
  <c r="L109" i="3" s="1"/>
  <c r="I175" i="5"/>
  <c r="D18" i="4"/>
  <c r="C49" i="2"/>
  <c r="D57" i="2"/>
  <c r="E57" i="2" s="1"/>
  <c r="F57" i="2" s="1"/>
  <c r="H100" i="3"/>
  <c r="H18" i="4"/>
  <c r="K18" i="4"/>
  <c r="D94" i="4"/>
  <c r="D10" i="2" s="1"/>
  <c r="J175" i="5"/>
  <c r="H175" i="5"/>
  <c r="N20" i="2"/>
  <c r="I100" i="3"/>
  <c r="K175" i="5"/>
  <c r="N66" i="4"/>
  <c r="G175" i="5"/>
  <c r="C94" i="4"/>
  <c r="C10" i="2" s="1"/>
  <c r="L175" i="5"/>
  <c r="F175" i="5"/>
  <c r="D68" i="4"/>
  <c r="F68" i="4"/>
  <c r="K7" i="4"/>
  <c r="K68" i="4"/>
  <c r="K86" i="4" s="1"/>
  <c r="M175" i="5"/>
  <c r="H68" i="4"/>
  <c r="K97" i="4" l="1"/>
  <c r="I44" i="3"/>
  <c r="M97" i="4"/>
  <c r="J97" i="4"/>
  <c r="G97" i="4"/>
  <c r="C97" i="4"/>
  <c r="D58" i="2"/>
  <c r="L12" i="4"/>
  <c r="E113" i="3"/>
  <c r="E104" i="3"/>
  <c r="E110" i="3" s="1"/>
  <c r="J102" i="3"/>
  <c r="J103" i="3" s="1"/>
  <c r="J104" i="3" s="1"/>
  <c r="J110" i="3" s="1"/>
  <c r="L103" i="3"/>
  <c r="L104" i="3" s="1"/>
  <c r="L110" i="3" s="1"/>
  <c r="K102" i="3"/>
  <c r="K103" i="3" s="1"/>
  <c r="K104" i="3" s="1"/>
  <c r="K110" i="3" s="1"/>
  <c r="G44" i="3"/>
  <c r="H44" i="3"/>
  <c r="H102" i="3"/>
  <c r="H103" i="3" s="1"/>
  <c r="H104" i="3" s="1"/>
  <c r="H110" i="3" s="1"/>
  <c r="G103" i="3"/>
  <c r="G104" i="3" s="1"/>
  <c r="G110" i="3" s="1"/>
  <c r="I102" i="3"/>
  <c r="I103" i="3" s="1"/>
  <c r="I104" i="3" s="1"/>
  <c r="I110" i="3" s="1"/>
  <c r="K24" i="4"/>
  <c r="H24" i="4"/>
  <c r="G24" i="4"/>
  <c r="C24" i="4"/>
  <c r="D24" i="4"/>
  <c r="I86" i="4"/>
  <c r="I97" i="4" s="1"/>
  <c r="L86" i="4"/>
  <c r="L97" i="4" s="1"/>
  <c r="B86" i="4"/>
  <c r="B97" i="4" s="1"/>
  <c r="K12" i="4"/>
  <c r="K26" i="4" s="1"/>
  <c r="F86" i="4"/>
  <c r="F97" i="4" s="1"/>
  <c r="E86" i="4"/>
  <c r="E97" i="4" s="1"/>
  <c r="I12" i="4"/>
  <c r="I26" i="4" s="1"/>
  <c r="H86" i="4"/>
  <c r="H97" i="4" s="1"/>
  <c r="D86" i="4"/>
  <c r="D97" i="4" s="1"/>
  <c r="M9" i="2"/>
  <c r="K9" i="2"/>
  <c r="K16" i="2" s="1"/>
  <c r="K17" i="2" s="1"/>
  <c r="J9" i="2"/>
  <c r="J16" i="2" s="1"/>
  <c r="J17" i="2" s="1"/>
  <c r="G9" i="2"/>
  <c r="G16" i="2" s="1"/>
  <c r="G17" i="2" s="1"/>
  <c r="C9" i="2"/>
  <c r="C16" i="2" s="1"/>
  <c r="C17" i="2" s="1"/>
  <c r="M33" i="2"/>
  <c r="N33" i="2" s="1"/>
  <c r="D34" i="2"/>
  <c r="D35" i="2" s="1"/>
  <c r="N46" i="2"/>
  <c r="M64" i="2"/>
  <c r="N64" i="2" s="1"/>
  <c r="M76" i="2"/>
  <c r="N76" i="2" s="1"/>
  <c r="N69" i="2"/>
  <c r="M44" i="2"/>
  <c r="N44" i="2" s="1"/>
  <c r="M14" i="2"/>
  <c r="N14" i="2" s="1"/>
  <c r="M72" i="2"/>
  <c r="N72" i="2" s="1"/>
  <c r="C34" i="2"/>
  <c r="C35" i="2" s="1"/>
  <c r="I24" i="4"/>
  <c r="G12" i="4"/>
  <c r="G26" i="4" s="1"/>
  <c r="E24" i="4"/>
  <c r="F24" i="4"/>
  <c r="N8" i="4"/>
  <c r="D12" i="4"/>
  <c r="D26" i="4" s="1"/>
  <c r="M12" i="4"/>
  <c r="M26" i="4" s="1"/>
  <c r="J12" i="4"/>
  <c r="J26" i="4" s="1"/>
  <c r="C12" i="4"/>
  <c r="C26" i="4" s="1"/>
  <c r="N10" i="2"/>
  <c r="J24" i="4"/>
  <c r="C48" i="2"/>
  <c r="H48" i="2"/>
  <c r="L48" i="2"/>
  <c r="I48" i="2"/>
  <c r="M48" i="2"/>
  <c r="K48" i="2"/>
  <c r="J48" i="2"/>
  <c r="E48" i="2"/>
  <c r="D48" i="2"/>
  <c r="B48" i="2"/>
  <c r="F48" i="2"/>
  <c r="G48" i="2"/>
  <c r="N70" i="4"/>
  <c r="B12" i="4"/>
  <c r="B26" i="4" s="1"/>
  <c r="M24" i="4"/>
  <c r="N94" i="4"/>
  <c r="N55" i="4"/>
  <c r="N9" i="4"/>
  <c r="M75" i="2"/>
  <c r="N75" i="2" s="1"/>
  <c r="M47" i="2"/>
  <c r="N47" i="2" s="1"/>
  <c r="G57" i="2"/>
  <c r="D59" i="2"/>
  <c r="C63" i="2"/>
  <c r="C83" i="2" s="1"/>
  <c r="N18" i="4"/>
  <c r="M32" i="2"/>
  <c r="N32" i="2" s="1"/>
  <c r="D49" i="2"/>
  <c r="E49" i="2" s="1"/>
  <c r="F49" i="2" s="1"/>
  <c r="G49" i="2" s="1"/>
  <c r="H49" i="2" s="1"/>
  <c r="I49" i="2" s="1"/>
  <c r="J49" i="2" s="1"/>
  <c r="K49" i="2" s="1"/>
  <c r="L49" i="2" s="1"/>
  <c r="B83" i="2"/>
  <c r="M67" i="2"/>
  <c r="N67" i="2" s="1"/>
  <c r="N68" i="4"/>
  <c r="F12" i="4"/>
  <c r="F26" i="4" s="1"/>
  <c r="N22" i="4"/>
  <c r="B24" i="4"/>
  <c r="N69" i="4"/>
  <c r="E34" i="2"/>
  <c r="E35" i="2" s="1"/>
  <c r="F31" i="2"/>
  <c r="N7" i="4"/>
  <c r="M70" i="2"/>
  <c r="N70" i="2" s="1"/>
  <c r="L26" i="4" l="1"/>
  <c r="L28" i="4" s="1"/>
  <c r="L47" i="4" s="1"/>
  <c r="L58" i="4" s="1"/>
  <c r="K28" i="4"/>
  <c r="K47" i="4" s="1"/>
  <c r="K58" i="4" s="1"/>
  <c r="N23" i="4"/>
  <c r="B28" i="4"/>
  <c r="N97" i="4"/>
  <c r="E9" i="2"/>
  <c r="E16" i="2" s="1"/>
  <c r="E17" i="2" s="1"/>
  <c r="B9" i="2"/>
  <c r="H9" i="2"/>
  <c r="H16" i="2" s="1"/>
  <c r="H17" i="2" s="1"/>
  <c r="C28" i="4"/>
  <c r="C47" i="4" s="1"/>
  <c r="C58" i="4" s="1"/>
  <c r="G28" i="4"/>
  <c r="G47" i="4" s="1"/>
  <c r="G58" i="4" s="1"/>
  <c r="H28" i="4"/>
  <c r="H47" i="4" s="1"/>
  <c r="H58" i="4" s="1"/>
  <c r="E58" i="2"/>
  <c r="D28" i="4"/>
  <c r="D47" i="4" s="1"/>
  <c r="D58" i="4" s="1"/>
  <c r="I9" i="2"/>
  <c r="I16" i="2" s="1"/>
  <c r="I17" i="2" s="1"/>
  <c r="I28" i="4"/>
  <c r="I47" i="4" s="1"/>
  <c r="I58" i="4" s="1"/>
  <c r="L9" i="2"/>
  <c r="L16" i="2" s="1"/>
  <c r="L17" i="2" s="1"/>
  <c r="F9" i="2"/>
  <c r="F16" i="2" s="1"/>
  <c r="F17" i="2" s="1"/>
  <c r="D9" i="2"/>
  <c r="D16" i="2" s="1"/>
  <c r="D17" i="2" s="1"/>
  <c r="J28" i="4"/>
  <c r="M16" i="2"/>
  <c r="M17" i="2" s="1"/>
  <c r="M49" i="2"/>
  <c r="N49" i="2" s="1"/>
  <c r="E28" i="4"/>
  <c r="E47" i="4" s="1"/>
  <c r="E58" i="4" s="1"/>
  <c r="M28" i="4"/>
  <c r="M47" i="4" s="1"/>
  <c r="M58" i="4" s="1"/>
  <c r="N12" i="4"/>
  <c r="F28" i="4"/>
  <c r="F47" i="4" s="1"/>
  <c r="F58" i="4" s="1"/>
  <c r="N48" i="2"/>
  <c r="E59" i="2"/>
  <c r="D63" i="2"/>
  <c r="D83" i="2" s="1"/>
  <c r="N71" i="4"/>
  <c r="N86" i="4" s="1"/>
  <c r="N24" i="4"/>
  <c r="F34" i="2"/>
  <c r="F35" i="2" s="1"/>
  <c r="G31" i="2"/>
  <c r="H57" i="2"/>
  <c r="H37" i="2" l="1"/>
  <c r="H38" i="2" s="1"/>
  <c r="N26" i="4"/>
  <c r="N28" i="4" s="1"/>
  <c r="N47" i="4" s="1"/>
  <c r="B47" i="4"/>
  <c r="B58" i="4" s="1"/>
  <c r="J47" i="4"/>
  <c r="J58" i="4" s="1"/>
  <c r="N9" i="2"/>
  <c r="N16" i="2" s="1"/>
  <c r="N17" i="2" s="1"/>
  <c r="F58" i="2"/>
  <c r="E37" i="2"/>
  <c r="K37" i="2"/>
  <c r="K40" i="2" s="1"/>
  <c r="G37" i="2"/>
  <c r="G40" i="2" s="1"/>
  <c r="I37" i="2"/>
  <c r="I40" i="2" s="1"/>
  <c r="L37" i="2"/>
  <c r="L42" i="2" s="1"/>
  <c r="M37" i="2"/>
  <c r="C37" i="2"/>
  <c r="C42" i="2" s="1"/>
  <c r="F37" i="2"/>
  <c r="F42" i="2" s="1"/>
  <c r="D37" i="2"/>
  <c r="G34" i="2"/>
  <c r="G35" i="2" s="1"/>
  <c r="H31" i="2"/>
  <c r="I57" i="2"/>
  <c r="E63" i="2"/>
  <c r="F59" i="2"/>
  <c r="B16" i="2"/>
  <c r="B17" i="2" s="1"/>
  <c r="B37" i="2" l="1"/>
  <c r="H42" i="2"/>
  <c r="H40" i="2"/>
  <c r="N58" i="4"/>
  <c r="J37" i="2"/>
  <c r="G58" i="2"/>
  <c r="G42" i="2"/>
  <c r="K42" i="2"/>
  <c r="G38" i="2"/>
  <c r="I38" i="2"/>
  <c r="E40" i="2"/>
  <c r="E42" i="2"/>
  <c r="E38" i="2"/>
  <c r="I42" i="2"/>
  <c r="K38" i="2"/>
  <c r="L38" i="2"/>
  <c r="L40" i="2"/>
  <c r="F40" i="2"/>
  <c r="F38" i="2"/>
  <c r="M40" i="2"/>
  <c r="M38" i="2"/>
  <c r="M42" i="2"/>
  <c r="C40" i="2"/>
  <c r="D42" i="2"/>
  <c r="D38" i="2"/>
  <c r="D40" i="2"/>
  <c r="C38" i="2"/>
  <c r="E83" i="2"/>
  <c r="F63" i="2"/>
  <c r="F83" i="2" s="1"/>
  <c r="G59" i="2"/>
  <c r="I31" i="2"/>
  <c r="H34" i="2"/>
  <c r="H35" i="2" s="1"/>
  <c r="J57" i="2"/>
  <c r="H52" i="2" l="1"/>
  <c r="J42" i="2"/>
  <c r="J40" i="2"/>
  <c r="J38" i="2"/>
  <c r="H58" i="2"/>
  <c r="G52" i="2"/>
  <c r="K52" i="2"/>
  <c r="I52" i="2"/>
  <c r="E52" i="2"/>
  <c r="E84" i="2" s="1"/>
  <c r="E85" i="2" s="1"/>
  <c r="E86" i="2" s="1"/>
  <c r="C52" i="2"/>
  <c r="C84" i="2" s="1"/>
  <c r="C85" i="2" s="1"/>
  <c r="C86" i="2" s="1"/>
  <c r="L52" i="2"/>
  <c r="D52" i="2"/>
  <c r="D84" i="2" s="1"/>
  <c r="D85" i="2" s="1"/>
  <c r="D86" i="2" s="1"/>
  <c r="M52" i="2"/>
  <c r="F52" i="2"/>
  <c r="F84" i="2" s="1"/>
  <c r="F85" i="2" s="1"/>
  <c r="F86" i="2" s="1"/>
  <c r="G63" i="2"/>
  <c r="G83" i="2" s="1"/>
  <c r="H59" i="2"/>
  <c r="B42" i="2"/>
  <c r="B38" i="2"/>
  <c r="N37" i="2"/>
  <c r="B40" i="2"/>
  <c r="K57" i="2"/>
  <c r="J31" i="2"/>
  <c r="I34" i="2"/>
  <c r="I35" i="2" s="1"/>
  <c r="N40" i="2" l="1"/>
  <c r="J52" i="2"/>
  <c r="N42" i="2"/>
  <c r="N38" i="2"/>
  <c r="I58" i="2"/>
  <c r="G84" i="2"/>
  <c r="G85" i="2" s="1"/>
  <c r="G86" i="2" s="1"/>
  <c r="L57" i="2"/>
  <c r="M57" i="2" s="1"/>
  <c r="K31" i="2"/>
  <c r="J34" i="2"/>
  <c r="J35" i="2" s="1"/>
  <c r="B52" i="2"/>
  <c r="H63" i="2"/>
  <c r="H83" i="2" s="1"/>
  <c r="I59" i="2"/>
  <c r="J58" i="2" l="1"/>
  <c r="K58" i="2" s="1"/>
  <c r="L58" i="2" s="1"/>
  <c r="M58" i="2" s="1"/>
  <c r="N58" i="2" s="1"/>
  <c r="H84" i="2"/>
  <c r="H85" i="2" s="1"/>
  <c r="H86" i="2" s="1"/>
  <c r="J59" i="2"/>
  <c r="I63" i="2"/>
  <c r="I83" i="2" s="1"/>
  <c r="I84" i="2" s="1"/>
  <c r="I85" i="2" s="1"/>
  <c r="I86" i="2" s="1"/>
  <c r="N52" i="2"/>
  <c r="B84" i="2"/>
  <c r="L31" i="2"/>
  <c r="K34" i="2"/>
  <c r="K35" i="2" s="1"/>
  <c r="N57" i="2"/>
  <c r="B85" i="2" l="1"/>
  <c r="B86" i="2" s="1"/>
  <c r="K59" i="2"/>
  <c r="J63" i="2"/>
  <c r="J83" i="2" s="1"/>
  <c r="J84" i="2" s="1"/>
  <c r="J85" i="2" s="1"/>
  <c r="J86" i="2" s="1"/>
  <c r="L34" i="2"/>
  <c r="L35" i="2" s="1"/>
  <c r="M31" i="2"/>
  <c r="M34" i="2" l="1"/>
  <c r="M35" i="2" s="1"/>
  <c r="N31" i="2"/>
  <c r="L59" i="2"/>
  <c r="K63" i="2"/>
  <c r="K83" i="2" s="1"/>
  <c r="K84" i="2" s="1"/>
  <c r="K85" i="2" s="1"/>
  <c r="K86" i="2" s="1"/>
  <c r="N34" i="2" l="1"/>
  <c r="N35" i="2" s="1"/>
  <c r="L63" i="2"/>
  <c r="L83" i="2" s="1"/>
  <c r="L84" i="2" s="1"/>
  <c r="M59" i="2"/>
  <c r="M63" i="2" l="1"/>
  <c r="N59" i="2"/>
  <c r="L85" i="2"/>
  <c r="L86" i="2" s="1"/>
  <c r="M83" i="2" l="1"/>
  <c r="N63" i="2"/>
  <c r="N83" i="2" l="1"/>
  <c r="M84" i="2"/>
  <c r="M85" i="2" l="1"/>
  <c r="M86" i="2" s="1"/>
  <c r="N84" i="2"/>
  <c r="N85" i="2" s="1"/>
  <c r="N86" i="2" s="1"/>
  <c r="N87" i="2"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Pamela Tan</author>
  </authors>
  <commentList>
    <comment ref="A175" authorId="0" shapeId="0" xr:uid="{00000000-0006-0000-0400-000001000000}">
      <text>
        <r>
          <rPr>
            <sz val="11"/>
            <color indexed="8"/>
            <rFont val="Helvetica Neue"/>
            <family val="2"/>
          </rPr>
          <t>Pamela Tan:
Check to ensure all hours listed on the table agrees to total hours summary.</t>
        </r>
      </text>
    </comment>
  </commentList>
</comments>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<sst xmlns="http://schemas.openxmlformats.org/spreadsheetml/2006/main" count="943" uniqueCount="482">
  <si>
    <t>This document was exported from Numbers.  Each table was converted to an Excel worksheet. All other objects on each Numbers sheet were placed on separate worksheets. Please be aware that formula calculations may differ in Excel.</t>
  </si>
  <si>
    <t>Numbers Sheet Name</t>
  </si>
  <si>
    <t>Numbers Table Name</t>
  </si>
  <si>
    <t>Excel Worksheet Name</t>
  </si>
  <si>
    <t>Proposed Budget</t>
  </si>
  <si>
    <t>Table 1</t>
  </si>
  <si>
    <t>Imagine Supported Living Services</t>
  </si>
  <si>
    <t>TOTAL</t>
  </si>
  <si>
    <t>Income</t>
  </si>
  <si>
    <t>Budget Year</t>
  </si>
  <si>
    <t>2023-24</t>
  </si>
  <si>
    <t>&lt;-- Please select</t>
  </si>
  <si>
    <t>Hidden column</t>
  </si>
  <si>
    <t>2022-23</t>
  </si>
  <si>
    <t xml:space="preserve">   4100 Donations &amp; Grants</t>
  </si>
  <si>
    <t>Manual input required</t>
  </si>
  <si>
    <t xml:space="preserve">      4110 Nonrestricted Donation</t>
  </si>
  <si>
    <t>% to Wages</t>
  </si>
  <si>
    <t>2024-25</t>
  </si>
  <si>
    <t xml:space="preserve">   Total 4100 Donations &amp; Grants</t>
  </si>
  <si>
    <t>Accrued PTO</t>
  </si>
  <si>
    <t>Rate update</t>
  </si>
  <si>
    <t>2025-26</t>
  </si>
  <si>
    <t xml:space="preserve">   5015 SARC Income</t>
  </si>
  <si>
    <t>Workers' Comp</t>
  </si>
  <si>
    <t>2026-27</t>
  </si>
  <si>
    <t xml:space="preserve">   5016 FHA Income</t>
  </si>
  <si>
    <t>Payroll Tax Expense</t>
  </si>
  <si>
    <t>2027-28</t>
  </si>
  <si>
    <t xml:space="preserve">   5020 GGRC Income</t>
  </si>
  <si>
    <t>2028-29</t>
  </si>
  <si>
    <t xml:space="preserve">   5310 Interest Income</t>
  </si>
  <si>
    <t>2030-31</t>
  </si>
  <si>
    <t xml:space="preserve">   5471 Admin Fees</t>
  </si>
  <si>
    <t>2031-32</t>
  </si>
  <si>
    <t>Total Income</t>
  </si>
  <si>
    <t>2032-33</t>
  </si>
  <si>
    <t>Gross Profit</t>
  </si>
  <si>
    <t>Expenses</t>
  </si>
  <si>
    <t xml:space="preserve">   7050 Consumer Related Costs</t>
  </si>
  <si>
    <t xml:space="preserve">      7051 Consumer Morale</t>
  </si>
  <si>
    <t xml:space="preserve">      7052 Consumer Repair &amp; Maintenance</t>
  </si>
  <si>
    <t xml:space="preserve">      7053 HM Rent</t>
  </si>
  <si>
    <t xml:space="preserve">      7055 HM Utilities</t>
  </si>
  <si>
    <t xml:space="preserve">         7056 Garbage</t>
  </si>
  <si>
    <t xml:space="preserve">         7057 Gas &amp; Electric</t>
  </si>
  <si>
    <t xml:space="preserve">         7058 Phone</t>
  </si>
  <si>
    <t xml:space="preserve">         7059 Water</t>
  </si>
  <si>
    <t xml:space="preserve">         7060 Internet</t>
  </si>
  <si>
    <t xml:space="preserve">         7062 Sewer, water, garbage</t>
  </si>
  <si>
    <t xml:space="preserve">      Total 7055 HM Utilities</t>
  </si>
  <si>
    <t xml:space="preserve">      7065 Home Supplies</t>
  </si>
  <si>
    <t xml:space="preserve">         7066 General Supplies</t>
  </si>
  <si>
    <t xml:space="preserve">         7068 Safety Supplies</t>
  </si>
  <si>
    <t xml:space="preserve">      Total 7065 Home Supplies</t>
  </si>
  <si>
    <t xml:space="preserve">   Total 7050 Consumer Related Costs</t>
  </si>
  <si>
    <t xml:space="preserve">   7200 Personnel</t>
  </si>
  <si>
    <t xml:space="preserve">      7220 Salary &amp; Wages</t>
  </si>
  <si>
    <t xml:space="preserve">      7226 Accrued PTO Expense</t>
  </si>
  <si>
    <t>Update table - Cell R8</t>
  </si>
  <si>
    <t xml:space="preserve">      7240 Health Benefits</t>
  </si>
  <si>
    <t xml:space="preserve">      7241 Workers' Comp</t>
  </si>
  <si>
    <t>Update table - Cell R9</t>
  </si>
  <si>
    <t xml:space="preserve">      7243 Unemployment</t>
  </si>
  <si>
    <t xml:space="preserve">      7250 Payroll Tax Expense</t>
  </si>
  <si>
    <t>Update table - Cell R10</t>
  </si>
  <si>
    <t xml:space="preserve">      7300 Continuing Education</t>
  </si>
  <si>
    <t xml:space="preserve">      7308 Fingerprinting</t>
  </si>
  <si>
    <t xml:space="preserve">      7310 Employee Expense</t>
  </si>
  <si>
    <t xml:space="preserve">      7311 Training</t>
  </si>
  <si>
    <t xml:space="preserve">      7541 Payroll Service Fee</t>
  </si>
  <si>
    <t xml:space="preserve">      7543 FHA Providers</t>
  </si>
  <si>
    <t xml:space="preserve">      8310 Travel/Mileage</t>
  </si>
  <si>
    <t xml:space="preserve">      8320 Staff Meetings</t>
  </si>
  <si>
    <t xml:space="preserve">      8321 Staff Recognition</t>
  </si>
  <si>
    <t xml:space="preserve">   Total 7200 Personnel</t>
  </si>
  <si>
    <t xml:space="preserve">   8000 Operations</t>
  </si>
  <si>
    <t xml:space="preserve">      7510 Fundraising Expense</t>
  </si>
  <si>
    <t xml:space="preserve">      7511 Marketing</t>
  </si>
  <si>
    <t xml:space="preserve">      7520 Audit &amp; Accounting Fees</t>
  </si>
  <si>
    <t xml:space="preserve">      7530 Recruitment</t>
  </si>
  <si>
    <t xml:space="preserve">      7540 Consultants</t>
  </si>
  <si>
    <t xml:space="preserve">      8110 Supplies</t>
  </si>
  <si>
    <t xml:space="preserve">         8112 Office Supplies</t>
  </si>
  <si>
    <t xml:space="preserve">         8113 Maintenance Supplies</t>
  </si>
  <si>
    <t xml:space="preserve">         8115 Technology</t>
  </si>
  <si>
    <t xml:space="preserve">      Total 8110 Supplies</t>
  </si>
  <si>
    <t xml:space="preserve">      8120 Data Storage</t>
  </si>
  <si>
    <t xml:space="preserve">      8131 Cell Phones</t>
  </si>
  <si>
    <t xml:space="preserve">      8134 Telephone</t>
  </si>
  <si>
    <t xml:space="preserve">      8135 Office Internet</t>
  </si>
  <si>
    <t xml:space="preserve">      8140 Postage &amp; Shipping</t>
  </si>
  <si>
    <t xml:space="preserve">      8215 Building Expense</t>
  </si>
  <si>
    <t xml:space="preserve">      8220 Office Utilities/Gas &amp; electric</t>
  </si>
  <si>
    <t xml:space="preserve">      8221 Security</t>
  </si>
  <si>
    <t xml:space="preserve">      8222 Water</t>
  </si>
  <si>
    <t xml:space="preserve">      8223 Garbage</t>
  </si>
  <si>
    <t xml:space="preserve">      8230 Taxes &amp; Fees</t>
  </si>
  <si>
    <t xml:space="preserve">      8250 Interest Paid on Loan</t>
  </si>
  <si>
    <t xml:space="preserve">      8261 Equipment Rental</t>
  </si>
  <si>
    <t xml:space="preserve">      8510 Bank &amp; Finance Charges</t>
  </si>
  <si>
    <t xml:space="preserve">      8520 Insurance</t>
  </si>
  <si>
    <t xml:space="preserve">         8521 Liability Insurance</t>
  </si>
  <si>
    <t xml:space="preserve">         8522 Officers &amp; Directors</t>
  </si>
  <si>
    <t xml:space="preserve">      Total 8520 Insurance</t>
  </si>
  <si>
    <t xml:space="preserve">      8530 Membership/Licenses</t>
  </si>
  <si>
    <t xml:space="preserve">   Total 8000 Operations</t>
  </si>
  <si>
    <t>Total Expenses</t>
  </si>
  <si>
    <t>Net Operating Income</t>
  </si>
  <si>
    <t>Net Income</t>
  </si>
  <si>
    <t>Forecast on Yearly Trend</t>
  </si>
  <si>
    <t>Profit and Loss Comparison (Year on Year)</t>
  </si>
  <si>
    <t>Actual 2020-21</t>
  </si>
  <si>
    <t>Actual 2019-20</t>
  </si>
  <si>
    <t>Actual 2018-19</t>
  </si>
  <si>
    <t>Actual 2017-18</t>
  </si>
  <si>
    <t>Actual 2016-17</t>
  </si>
  <si>
    <t>Actual 2015-16</t>
  </si>
  <si>
    <t>Full Year</t>
  </si>
  <si>
    <t>Jul 2020 - Jun 2021</t>
  </si>
  <si>
    <t>Jul 2019 - Jun 2020</t>
  </si>
  <si>
    <t>Jul 2018 - Jun 2019</t>
  </si>
  <si>
    <t xml:space="preserve">Jul 2017 - Jun 2018 </t>
  </si>
  <si>
    <t>Jul 2016 - Jun 2017</t>
  </si>
  <si>
    <t>Jul 2015 - Jun 2016</t>
  </si>
  <si>
    <t xml:space="preserve">      4231 Restricted Donation</t>
  </si>
  <si>
    <t xml:space="preserve">   5017 CAPSIT</t>
  </si>
  <si>
    <t xml:space="preserve">   5018 BSBST</t>
  </si>
  <si>
    <t xml:space="preserve">   5019 BSBCBA</t>
  </si>
  <si>
    <t xml:space="preserve">   Sales of Product Income</t>
  </si>
  <si>
    <t xml:space="preserve">   Uncategorized Income</t>
  </si>
  <si>
    <t xml:space="preserve">         7067 Repairs</t>
  </si>
  <si>
    <t xml:space="preserve">      8610 Bad Debt</t>
  </si>
  <si>
    <t xml:space="preserve">      7306 Ads</t>
  </si>
  <si>
    <t xml:space="preserve">      7312 Employee Onboard &amp; Performance</t>
  </si>
  <si>
    <t xml:space="preserve">         8111 Computer Equip (under $1000)</t>
  </si>
  <si>
    <t xml:space="preserve">         8114 Program</t>
  </si>
  <si>
    <t xml:space="preserve">      8133 Pagers</t>
  </si>
  <si>
    <t xml:space="preserve">      8180 Publications &amp; Reference</t>
  </si>
  <si>
    <t xml:space="preserve">      8210 Rent</t>
  </si>
  <si>
    <t xml:space="preserve">      8216 Computer Repairs</t>
  </si>
  <si>
    <t xml:space="preserve">      8240 Property Taxes</t>
  </si>
  <si>
    <t xml:space="preserve">      8400 Community Relations (Gifts)</t>
  </si>
  <si>
    <t>Other Expenses</t>
  </si>
  <si>
    <t xml:space="preserve">   8270 Depreciation Expense</t>
  </si>
  <si>
    <t xml:space="preserve">   Reconciliation Discrepancies</t>
  </si>
  <si>
    <t>Total Other Expenses</t>
  </si>
  <si>
    <t>Net Other Income</t>
  </si>
  <si>
    <t>Calculators</t>
  </si>
  <si>
    <t>WAGES $</t>
  </si>
  <si>
    <t>Rates $</t>
  </si>
  <si>
    <t>Awake (Lead &amp; Non)</t>
  </si>
  <si>
    <t>SLP</t>
  </si>
  <si>
    <t>SLZ</t>
  </si>
  <si>
    <t>Total Direct Care</t>
  </si>
  <si>
    <t>Stipend $</t>
  </si>
  <si>
    <t>Level 1</t>
  </si>
  <si>
    <t>Stipend update</t>
  </si>
  <si>
    <t>Level 2</t>
  </si>
  <si>
    <t>Level 3</t>
  </si>
  <si>
    <t>Level 4</t>
  </si>
  <si>
    <t>Total FHA Provider</t>
  </si>
  <si>
    <t>Facilitators</t>
  </si>
  <si>
    <t>Admin</t>
  </si>
  <si>
    <t>Executive</t>
  </si>
  <si>
    <t>Total Fixed &amp; Admin</t>
  </si>
  <si>
    <t>Monthly Hours</t>
  </si>
  <si>
    <t>CT</t>
  </si>
  <si>
    <t>Rate &amp; hrs update</t>
  </si>
  <si>
    <t>CCR Cost</t>
  </si>
  <si>
    <t>CCR Cost Avoidance</t>
  </si>
  <si>
    <t>CCR</t>
  </si>
  <si>
    <t>Respite</t>
  </si>
  <si>
    <t>OT</t>
  </si>
  <si>
    <t>Buffer (Optional)</t>
  </si>
  <si>
    <t>Total Others</t>
  </si>
  <si>
    <t>REVENUES $</t>
  </si>
  <si>
    <t>SARC SLS</t>
  </si>
  <si>
    <t>Mileage rate (no update)</t>
  </si>
  <si>
    <t>PAHA</t>
  </si>
  <si>
    <t>Total SARC SLS Income</t>
  </si>
  <si>
    <t>FHA</t>
  </si>
  <si>
    <t>Monthly Rev $</t>
  </si>
  <si>
    <t>Monthly Rate update</t>
  </si>
  <si>
    <t>Total FHA Income</t>
  </si>
  <si>
    <t>Hours</t>
  </si>
  <si>
    <t>Consumer/ SARC SLS</t>
  </si>
  <si>
    <t>Billing</t>
  </si>
  <si>
    <t>Current
Rate</t>
  </si>
  <si>
    <t>Codes</t>
  </si>
  <si>
    <t>KC</t>
  </si>
  <si>
    <t>894 Admin</t>
  </si>
  <si>
    <t>896 PAHA</t>
  </si>
  <si>
    <t>896 SLP</t>
  </si>
  <si>
    <t>896 Miles</t>
  </si>
  <si>
    <t xml:space="preserve">                          -  </t>
  </si>
  <si>
    <t>ADeD</t>
  </si>
  <si>
    <t>LT</t>
  </si>
  <si>
    <t>TO</t>
  </si>
  <si>
    <t xml:space="preserve"> </t>
  </si>
  <si>
    <t>SH</t>
  </si>
  <si>
    <t>SL</t>
  </si>
  <si>
    <t>896 SLZ</t>
  </si>
  <si>
    <t>ZM</t>
  </si>
  <si>
    <t>MH</t>
  </si>
  <si>
    <t>AO</t>
  </si>
  <si>
    <t>896T378</t>
  </si>
  <si>
    <t>HO</t>
  </si>
  <si>
    <t>CP</t>
  </si>
  <si>
    <t>DP</t>
  </si>
  <si>
    <t>TP</t>
  </si>
  <si>
    <t>IS</t>
  </si>
  <si>
    <t>RT</t>
  </si>
  <si>
    <t>JW</t>
  </si>
  <si>
    <t>SW</t>
  </si>
  <si>
    <t>RL</t>
  </si>
  <si>
    <t>JS</t>
  </si>
  <si>
    <t>TD</t>
  </si>
  <si>
    <t>SG</t>
  </si>
  <si>
    <t>EW</t>
  </si>
  <si>
    <t>AL</t>
  </si>
  <si>
    <t>Total Hours Summary</t>
  </si>
  <si>
    <t>Please make sure billing</t>
  </si>
  <si>
    <t>codes are identical to the</t>
  </si>
  <si>
    <t>table above for summation</t>
  </si>
  <si>
    <t>formula to work effectively. --&gt;</t>
  </si>
  <si>
    <t>Balance Check</t>
  </si>
  <si>
    <t>FHA Calculator</t>
  </si>
  <si>
    <t>Headcount --&gt;</t>
  </si>
  <si>
    <t>Instructions</t>
  </si>
  <si>
    <t>Instructions for New Budget Template</t>
  </si>
  <si>
    <t>"Proposed Budget" tab</t>
  </si>
  <si>
    <t xml:space="preserve">Update Budget Year by selecting from drop-down list. This will automatically update month header for "Proposed Budget", </t>
  </si>
  <si>
    <t>"Forecast on Yearly Trend", "Calculators" and "Hours" tabs.</t>
  </si>
  <si>
    <t>Also, update % to wages for accrued PTO, workers' comp and payroll tax expense.</t>
  </si>
  <si>
    <t>Manual input is required for cells highlighted in pink.</t>
  </si>
  <si>
    <t>For line items highlighted in green, numbers are updated via "Calculators" tab for details.</t>
  </si>
  <si>
    <t>For line items highlighted in purple, numbers are updated via the "Forecast on Yearly Trend" tab.</t>
  </si>
  <si>
    <t xml:space="preserve">Total for the year input on "Forecast on Yearly Trend" tab will be divided into 12 months average automatically (via formula) on </t>
  </si>
  <si>
    <t>the "Proposed Budget" tab.</t>
  </si>
  <si>
    <t>For the 3 line items below, the numbers are derived by multiplying wages with the % updated on Cell R8, R9 and R10.</t>
  </si>
  <si>
    <t>"Forecast on Yearly Trend" tab</t>
  </si>
  <si>
    <t>Optional - update the P&amp;L numbers for the fiscal year just ended via QB download or manual input.</t>
  </si>
  <si>
    <t>Optional - update the P&amp;L numbers for the current fiscal year (YTD) via QB download or manual input.</t>
  </si>
  <si>
    <t>These information are good to know but helpful for full year budget forecast/preparation.</t>
  </si>
  <si>
    <t>Update full year number for cells highlighted in purple.</t>
  </si>
  <si>
    <t>"Calculators" tab</t>
  </si>
  <si>
    <t>Rate update is required (where indicated) as the total wages is derived by multiplying rate with hours information from the "Hours" tab.</t>
  </si>
  <si>
    <t>Manual input is required (where indicated) in cells highlighted in pink.</t>
  </si>
  <si>
    <t>"Hours" tab</t>
  </si>
  <si>
    <t>The following update is required on the "Hours" tab.</t>
  </si>
  <si>
    <t>a. SARC SLS - Hours input</t>
  </si>
  <si>
    <t>b. FHA - Headcount input</t>
  </si>
  <si>
    <t>The "Calculators" tab is formularized to lookup the hours and headcount information from the "Hours" tab.</t>
  </si>
  <si>
    <t xml:space="preserve">Rates data on the "Calculators" tab multiplies the hours and headcount information to derive at the budgeted income and wages $ </t>
  </si>
  <si>
    <t>for SLS and FHA.</t>
  </si>
  <si>
    <t>Change notes</t>
  </si>
  <si>
    <t>Sheets</t>
  </si>
  <si>
    <t>Observation</t>
  </si>
  <si>
    <t>Action</t>
  </si>
  <si>
    <t>Calculators &amp; Forecast on Yearly Trend</t>
  </si>
  <si>
    <t>FHA Providers are included in wages at $25K/mo. in Calculator, and  7543 FHA Providers expense item at $18K/mo in Forecast</t>
  </si>
  <si>
    <t>Delete the $25K/mo from Wages, and keep the $18K expense item</t>
  </si>
  <si>
    <t>Health Benefits at $58k/mo is $200K+ more than average of actual 2015-2021</t>
  </si>
  <si>
    <t>Lower to $50k/mo which is still above average; then lower to $48k/mo</t>
  </si>
  <si>
    <t>WC too high,  Brent thinks there may be option to pay less</t>
  </si>
  <si>
    <t>Modify % from 5% to 4.5%</t>
  </si>
  <si>
    <t>Mileage is not in the SLS revenue</t>
  </si>
  <si>
    <t>Add the mileage back to the SLS revenue.</t>
  </si>
  <si>
    <t>Unemployment may be high</t>
  </si>
  <si>
    <t>Reduced from $5K/quarter to $3k/quarter</t>
  </si>
  <si>
    <t>None of the FHA rates are valid</t>
  </si>
  <si>
    <t>Just using the line item</t>
  </si>
  <si>
    <t>LT raises still in budget</t>
  </si>
  <si>
    <t>General reduction of LT wages/salaries</t>
  </si>
  <si>
    <t>We have one less Level 4 client</t>
  </si>
  <si>
    <t>3 of each level client</t>
  </si>
  <si>
    <t>Non-payroll costs associated with Summit</t>
  </si>
  <si>
    <t>Clients can be added</t>
  </si>
  <si>
    <t>Added one new client, brought on forward, added hours to spot reserved for AL</t>
  </si>
  <si>
    <t>In the last three years, fundraising has averaged $104k with 60k the least</t>
  </si>
  <si>
    <t>Increase fundraising to 60k</t>
  </si>
  <si>
    <t>We pay dues to CDCAN of 1k-2k/year not included in proposed budget</t>
  </si>
  <si>
    <t>Add 2k to “Memberships”</t>
  </si>
  <si>
    <t>Math not used in estimating new WC.  Multiplied 2022 actuals by 1.25 per BF advice</t>
  </si>
  <si>
    <t>WC rate adjusted to 4%</t>
  </si>
  <si>
    <t>Client MH has requested increase in support</t>
  </si>
  <si>
    <t>MH PAHA-&gt;100</t>
  </si>
  <si>
    <t>No allowance for on-call stipend</t>
  </si>
  <si>
    <t>Added $1125/month</t>
  </si>
  <si>
    <t>Update year</t>
  </si>
  <si>
    <t>2023-2024 selected</t>
  </si>
  <si>
    <t>Update new information</t>
  </si>
  <si>
    <t>Add new rates, update wages based on blended average, update OT based on actual averages</t>
  </si>
  <si>
    <t>CT has fewer hours than needed</t>
  </si>
  <si>
    <t>Update CT hours</t>
  </si>
  <si>
    <t>Adjust to new clients</t>
  </si>
  <si>
    <t>Delete RS, JW and JH.  Add DT-B, LT, PC, EW, AL</t>
  </si>
  <si>
    <t>Note, Eliot has different rates and wages</t>
  </si>
  <si>
    <t>Handle differently (mark in yellow)</t>
  </si>
  <si>
    <t>Convert Unnamed to named where possible and annualize</t>
  </si>
  <si>
    <t>Hours (TBD)</t>
  </si>
  <si>
    <t>Rebase hours on actuals from the calendar year 2022</t>
  </si>
  <si>
    <t>Proposed Budget (TBD)</t>
  </si>
  <si>
    <t>Rebase key expenses (Esp. Health benefits)</t>
  </si>
  <si>
    <t>Recruitment increased</t>
  </si>
  <si>
    <t>Based “Buffer on est. of lead staff and ON awake</t>
  </si>
  <si>
    <t>Linked to Proposed Budget tab - Row 35 (7220 Salary &amp; Wages)</t>
  </si>
  <si>
    <t>Linked to Proposed Budget tab - Row 46 (7543 FHA Providers)</t>
  </si>
  <si>
    <t>FYI only, NOT linked to Proposed Budget tab</t>
  </si>
  <si>
    <t>Linked to Proposed Budget tab - Row 10 (5016 FHA Income)</t>
  </si>
  <si>
    <t>Linked to Proposed Budget tab - Row 9 (5015 SARC Income)</t>
  </si>
  <si>
    <t>Total Wages (exclude FHA)</t>
  </si>
  <si>
    <t>Self-Determination</t>
  </si>
  <si>
    <t>Forcast on Yearly Trends</t>
  </si>
  <si>
    <t>Added 9% to health benefits over all</t>
  </si>
  <si>
    <t>LH</t>
  </si>
  <si>
    <t>CH</t>
  </si>
  <si>
    <t>U1</t>
  </si>
  <si>
    <t>Existing and known clients missing from "Hours"</t>
  </si>
  <si>
    <t>Replaced "U1" with Linda Hill and U2 with Charlie Holmes</t>
  </si>
  <si>
    <t>Received information that Kaiser is increasing prices 9% and UHC 4%</t>
  </si>
  <si>
    <t>AF</t>
  </si>
  <si>
    <t>20</t>
  </si>
  <si>
    <t>GD</t>
  </si>
  <si>
    <t>Adjust for actuals</t>
  </si>
  <si>
    <t>Removed Damien, Briana, Patrick and Nate.  Used October and November '23 to update hours for 31 and 30 day months, estimated February hours as 14/15 of April.  For some clients where there is a change planned, used the intended hours rather than actuals.</t>
  </si>
  <si>
    <t>Hours/Calculators</t>
  </si>
  <si>
    <t>Admin/Executive positions and wages have changed</t>
  </si>
  <si>
    <t>Eliminated DOS funding, increased admin wages to current or preferred leves, reset Facilitator salaries to reflect two FIIs and Lead Facilitator</t>
  </si>
  <si>
    <t>Rough change to DC wages</t>
  </si>
  <si>
    <t xml:space="preserve">Raised average wage to 19.  Increased CCR to 25.  </t>
  </si>
  <si>
    <t>Incoming clients</t>
  </si>
  <si>
    <t>Added fictitious "U1" with moderate needs beginning July 1</t>
  </si>
  <si>
    <t>Added fictitious "U2: with greater needs beginning October</t>
  </si>
  <si>
    <t>New rates for CT needed</t>
  </si>
  <si>
    <t>Created shorthand update by multiplying new rate by expected hours</t>
  </si>
  <si>
    <t>Proposed Budget/Calculators</t>
  </si>
  <si>
    <t>Adjusted for Leap Year, corrected some missing data for AF</t>
  </si>
  <si>
    <t>It's Leap Year according to Heather!  Also, some hours were missing from AF</t>
  </si>
  <si>
    <t>Need to add AJ!  $3k/month revenue, add some recruiting costs (maybe $300/month)</t>
  </si>
  <si>
    <t>Forecast on yearly trend</t>
  </si>
  <si>
    <t>Health costs rising</t>
  </si>
  <si>
    <t>Increased average of last 5 months by 12%, annualized</t>
  </si>
  <si>
    <t xml:space="preserve">Added 220 hours of both PAHA and sleep, consistent with recent invoices, to ZM </t>
  </si>
  <si>
    <t>Need to update Wilson</t>
  </si>
  <si>
    <t>ZM's support is funded and paid similar to SLS but without the admin</t>
  </si>
  <si>
    <t>Jul 1, 2021 -Jun 30, 2022</t>
  </si>
  <si>
    <t>Actual 2021-22</t>
  </si>
  <si>
    <t>Actual 2022-23</t>
  </si>
  <si>
    <t>July 1-June 30</t>
  </si>
  <si>
    <t>Juiy 1-December '23</t>
  </si>
  <si>
    <t>Updated two additional years (yet to do the partial year to date)</t>
  </si>
  <si>
    <t>Adjusted the purple squares to trend.  Also adjusted insurance to trend.</t>
  </si>
  <si>
    <t>ZP</t>
  </si>
  <si>
    <t>ZP to replace U1</t>
  </si>
  <si>
    <t>Added an estimate of ZP at standard rate without SDP</t>
  </si>
  <si>
    <t>DH to replace U2</t>
  </si>
  <si>
    <t>Added an estimate of DH as SLS although he hopes to become SDP</t>
  </si>
  <si>
    <t>DH</t>
  </si>
  <si>
    <t>U1 to replace BH</t>
  </si>
  <si>
    <t>Added a low need client, might be LAO</t>
  </si>
  <si>
    <t>Heather had edits and corrections</t>
  </si>
  <si>
    <t>Made all but one</t>
  </si>
  <si>
    <t>Final year needed entry, Heather had one more correction</t>
  </si>
  <si>
    <t>Added YTD 2023-2024 and multiplied by 2.  Reallocated "Supples"</t>
  </si>
  <si>
    <t>AJ</t>
  </si>
  <si>
    <t>ZP and DH were rough estimates and we now have better estimates</t>
  </si>
  <si>
    <t>Revised hours for ZP and DH</t>
  </si>
  <si>
    <t>FHA showed 6 clients, there are 5.</t>
  </si>
  <si>
    <t>Corrected FHA</t>
  </si>
  <si>
    <t>Received new renewal costs for our liability insurance.  New policy combines D&amp;O and Liability in one policy</t>
  </si>
  <si>
    <t>Updated costs of Liability insurance so that the total of both lines slightly exceeds quote.</t>
  </si>
  <si>
    <t>Previously broke the EW revenue calculator.  Tried to make it right if not unbroken.</t>
  </si>
  <si>
    <t>Revenues for Eliot now generated as 23 hours/day (due to IHSS) instead of by formula which would be better</t>
  </si>
  <si>
    <t>Updated Data Storage from $10k to $4,500.</t>
  </si>
  <si>
    <t>Data Storage has gone down in the last FY.</t>
  </si>
  <si>
    <t>Cells Phone expense has increased over the last FY</t>
  </si>
  <si>
    <t>Updated Cell Phone from $11,771.32 to $16k.</t>
  </si>
  <si>
    <t>Office Utilities/Gas &amp; Electric has increased over the last FY</t>
  </si>
  <si>
    <t>Updated Office Utilities/Gas &amp; Electric from $1,200 to $2k.</t>
  </si>
  <si>
    <t>Equipment Rental has stayed roughly the same as last FY.</t>
  </si>
  <si>
    <t>Updated Equipment Rental from $5,200 to $5k.</t>
  </si>
  <si>
    <t>LAO</t>
  </si>
  <si>
    <t>Changes to clients since last draft</t>
  </si>
  <si>
    <t>Removed hours from CC, replaced with an unnamed client (U1) with modest hours beginning in September.  Added hours to malcolm.  Corrected DH hours to POS authorization.  Looked for didn't find AJ revenues to remove. Note on AJ: Family wants to discontinue current arrangement but continue with Imagine in some form or fashion not yet proposed/accepted.</t>
  </si>
  <si>
    <t xml:space="preserve">   5021 Self-Determiniation </t>
  </si>
  <si>
    <t>CCR Costs are off - Need to redo costs</t>
  </si>
  <si>
    <t>320 PAHA</t>
  </si>
  <si>
    <t>320 SENIOR PAHA</t>
  </si>
  <si>
    <t>320 SLP</t>
  </si>
  <si>
    <t>320 MILES</t>
  </si>
  <si>
    <t>320 ADMIN</t>
  </si>
  <si>
    <t>ZM was under SLS &amp; SD</t>
  </si>
  <si>
    <t>Removed ZM from SLS</t>
  </si>
  <si>
    <t>Hours for SD were not in</t>
  </si>
  <si>
    <t>Added in Hours for SD Consumers: ZM, EW, ZP</t>
  </si>
  <si>
    <t xml:space="preserve">   5021 Self-Determination</t>
  </si>
  <si>
    <t>H &amp; S</t>
  </si>
  <si>
    <t>896 PAHCT</t>
  </si>
  <si>
    <t>Hours for CT w/ H&amp;S were not in</t>
  </si>
  <si>
    <t>Added in Hours for CT</t>
  </si>
  <si>
    <t>Total Self-Determination Income</t>
  </si>
  <si>
    <t>Total SD Hours Summary</t>
  </si>
  <si>
    <t xml:space="preserve">   5022 H&amp;S income</t>
  </si>
  <si>
    <t>Linked to Proposed Budget tab - Row 13 (5022 H&amp;S Income)</t>
  </si>
  <si>
    <t>Total H&amp;S Income</t>
  </si>
  <si>
    <t>H&amp;S Income</t>
  </si>
  <si>
    <t>Total Revenue (Include H&amp;S, SD, FHA)</t>
  </si>
  <si>
    <t>Linked to Proposed Budget tab - Row 12 (5021 Self-Determination Income)</t>
  </si>
  <si>
    <t>Didn’t have Self-Determiniation or CT</t>
  </si>
  <si>
    <t>Added Self-Determiniation and CT(H&amp;S) - Linked to Proposed Budget</t>
  </si>
  <si>
    <t>Didn’t have CT's Income Seperated out</t>
  </si>
  <si>
    <t>Added H&amp;S Income for CT</t>
  </si>
  <si>
    <t>Didn’t have Self-Determiniation Income Seperated out</t>
  </si>
  <si>
    <t>Added Self-Determiniation Income</t>
  </si>
  <si>
    <t>Total SARC Income (exclude FHA, SD, H&amp;S)</t>
  </si>
  <si>
    <t>Total CT</t>
  </si>
  <si>
    <t>Total Self-Determiniation</t>
  </si>
  <si>
    <t>EW PAHA</t>
  </si>
  <si>
    <t>EW SLP</t>
  </si>
  <si>
    <t>ZM PAHA</t>
  </si>
  <si>
    <t>ZM Senior PAHA</t>
  </si>
  <si>
    <t>ZM SLP</t>
  </si>
  <si>
    <t>ZP PAHA</t>
  </si>
  <si>
    <t>ZP SLP</t>
  </si>
  <si>
    <t>Total Wages (Include CT, SD, FHA)</t>
  </si>
  <si>
    <t>Didn’t have Wages broken out for CT or SD</t>
  </si>
  <si>
    <t>Added Wages for CT &amp; SD (EW, ZP, ZM)</t>
  </si>
  <si>
    <t>CT Training</t>
  </si>
  <si>
    <t>Didn’t have CT's Training Budget in</t>
  </si>
  <si>
    <t>Added CT Training Budget in</t>
  </si>
  <si>
    <t>Changes to Client Hours</t>
  </si>
  <si>
    <t>896 T378</t>
  </si>
  <si>
    <t>Updated Hours for KC, Ad, LT, AF,SH, GD,SL,MH,AD,HO,DP,CH,IS,RT,JW,SW,TD,SG</t>
  </si>
  <si>
    <t>ZP was under SLS &amp; SD</t>
  </si>
  <si>
    <t>Took ZP out of SLS</t>
  </si>
  <si>
    <t>OT was at 0.03</t>
  </si>
  <si>
    <t>Updated OT to 0.05</t>
  </si>
  <si>
    <t>Updated Training Budget from $9,722.56 to $20,000.0</t>
  </si>
  <si>
    <t>Interest Paid on Loan went up</t>
  </si>
  <si>
    <t>Updated Interest Pain on Loan from $30K to $33K</t>
  </si>
  <si>
    <t>Updated Rates for SLS: PAHA, SLP, SLZ</t>
  </si>
  <si>
    <t>Training Budget was equivalent to actuals but below trend</t>
  </si>
  <si>
    <t>SLS: PAHA, SLP, SLZ rates seemed low-ish if turnover is low</t>
  </si>
  <si>
    <t>10k felt like a better number to open the multi-year fun</t>
  </si>
  <si>
    <t>Building expenses increased to 15k, 5k intended to maintain trend and 10k for multiyear maintenance fund</t>
  </si>
  <si>
    <t>Replace Jen as Admin with ADF position</t>
  </si>
  <si>
    <t>Costs removed from Admin, added to Exec</t>
  </si>
  <si>
    <t>Callculators</t>
  </si>
  <si>
    <t>Need quarterly incentives for Facilitators and FHPs</t>
  </si>
  <si>
    <t>Added quarterly</t>
  </si>
  <si>
    <t>Update FHP Stipends</t>
  </si>
  <si>
    <t>Updated</t>
  </si>
  <si>
    <t>Increase Training</t>
  </si>
  <si>
    <t>Training set to 30k</t>
  </si>
  <si>
    <t>QIP</t>
  </si>
  <si>
    <t>Remaining U1 unidentified person</t>
  </si>
  <si>
    <t>Remove hours from U1</t>
  </si>
  <si>
    <t>Proposed wage increases</t>
  </si>
  <si>
    <t>Increase Wages for PAHA, SLZ to 22.50, add to CT as well</t>
  </si>
  <si>
    <t>320 CLS</t>
  </si>
  <si>
    <t>320 CLS-RBT</t>
  </si>
  <si>
    <t>DH Missing</t>
  </si>
  <si>
    <t>Add DH hours and rates</t>
  </si>
  <si>
    <t>DH CLS</t>
  </si>
  <si>
    <t>DH CLS-RBT</t>
  </si>
  <si>
    <t>DH SLP</t>
  </si>
  <si>
    <t>2025-2026</t>
  </si>
  <si>
    <t>Set caregiver wages</t>
  </si>
  <si>
    <t>Increased from average 19.50 for PAHA, SLZ to 22, CT staff to 34</t>
  </si>
  <si>
    <t>Admin to be corrected</t>
  </si>
  <si>
    <t>Double Check Admin Asst, Recruiter, Book-keeper, Finance Clerk Present</t>
  </si>
  <si>
    <t>Cost of additional Book-keeping and Accounting support included withing Admin position</t>
  </si>
  <si>
    <t>Addition 25000 added to Admin &amp; Accounting</t>
  </si>
  <si>
    <t>Actual 2023-2024</t>
  </si>
  <si>
    <t>Year through 9/30/2024</t>
  </si>
  <si>
    <t>Proposed Budget, Hours, Calculators</t>
  </si>
  <si>
    <t>Last minute changes before the board meeting</t>
  </si>
  <si>
    <t>Raised EW rate, reduced ZP hours, put in raises for LT, increased Health Benefits, Increased Cell phone, decreased recruitment, increased mileage</t>
  </si>
  <si>
    <t>Whole year at a single rate.  Raises expected in January</t>
  </si>
  <si>
    <t>Adjusted so that first half of the year, PAHA and SLZ are at current averages with a $1.75 average raise afterwards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</si>
</sst>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44" formatCode="_(&quot;$&quot;* #,##0.00_);_(&quot;$&quot;* \(#,##0.00\);_(&quot;$&quot;* &quot;-&quot;??_);_(@_)"/>
    <numFmt numFmtId="43" formatCode="_(* #,##0.00_);_(* \(#,##0.00\);_(* &quot;-&quot;??_);_(@_)"/>
    <numFmt numFmtId="164" formatCode="#,##0.00&quot;  &quot;"/>
    <numFmt numFmtId="165" formatCode="&quot;$&quot;* #,##0.00&quot;  &quot;"/>
    <numFmt numFmtId="166" formatCode="#,##0.00000000000"/>
    <numFmt numFmtId="167" formatCode="&quot; &quot;* #,##0.00&quot; &quot;;&quot; &quot;* \(#,##0.00\);&quot; &quot;* &quot;-&quot;??&quot; &quot;"/>
    <numFmt numFmtId="168" formatCode="&quot; &quot;&quot;$&quot;* #,##0.00&quot; &quot;;&quot; &quot;&quot;$&quot;* \(#,##0.00\);&quot; &quot;&quot;$&quot;* &quot;-&quot;??&quot; &quot;"/>
    <numFmt numFmtId="169" formatCode="&quot;$&quot;#,##0.00&quot; &quot;;\(&quot;$&quot;#,##0.00\)"/>
    <numFmt numFmtId="170" formatCode="&quot; &quot;* #,##0.0&quot; &quot;;&quot; &quot;* \(#,##0.0\);&quot; &quot;* &quot;-&quot;??&quot; &quot;"/>
    <numFmt numFmtId="171" formatCode="_(* #,##0_);_(* \(#,##0\);_(* &quot;-&quot;??_);_(@_)"/>
    <numFmt numFmtId="172" formatCode="#,##0.00\ _€"/>
    <numFmt numFmtId="173" formatCode="&quot;$&quot;* #,##0.00\ _€"/>
  </numFmts>
  <fonts count="34" x14ac:knownFonts="1">
    <font>
      <sz val="12"/>
      <color indexed="8"/>
      <name val="Calibri"/>
    </font>
    <font>
      <sz val="14"/>
      <color indexed="8"/>
      <name val="Calibri"/>
      <family val="2"/>
    </font>
    <font>
      <u/>
      <sz val="12"/>
      <color indexed="11"/>
      <name val="Calibri"/>
      <family val="2"/>
    </font>
    <font>
      <sz val="15"/>
      <color indexed="8"/>
      <name val="Calibri"/>
      <family val="2"/>
    </font>
    <font>
      <b/>
      <sz val="11"/>
      <color indexed="8"/>
      <name val="Arial"/>
      <family val="2"/>
    </font>
    <font>
      <b/>
      <sz val="10"/>
      <color indexed="8"/>
      <name val="Arial"/>
      <family val="2"/>
    </font>
    <font>
      <b/>
      <sz val="9"/>
      <color indexed="8"/>
      <name val="Arial"/>
      <family val="2"/>
    </font>
    <font>
      <sz val="9"/>
      <color indexed="8"/>
      <name val="Arial"/>
      <family val="2"/>
    </font>
    <font>
      <b/>
      <sz val="8"/>
      <color indexed="8"/>
      <name val="Arial"/>
      <family val="2"/>
    </font>
    <font>
      <i/>
      <sz val="8"/>
      <color indexed="11"/>
      <name val="Arial"/>
      <family val="2"/>
    </font>
    <font>
      <i/>
      <sz val="8"/>
      <color indexed="16"/>
      <name val="Arial"/>
      <family val="2"/>
    </font>
    <font>
      <sz val="8"/>
      <color indexed="8"/>
      <name val="Arial"/>
      <family val="2"/>
    </font>
    <font>
      <b/>
      <u/>
      <sz val="8"/>
      <color indexed="8"/>
      <name val="Arial"/>
      <family val="2"/>
    </font>
    <font>
      <sz val="9"/>
      <color indexed="11"/>
      <name val="Arial"/>
      <family val="2"/>
    </font>
    <font>
      <b/>
      <sz val="9"/>
      <color indexed="8"/>
      <name val="Calibri"/>
      <family val="2"/>
    </font>
    <font>
      <b/>
      <i/>
      <sz val="9"/>
      <color indexed="11"/>
      <name val="Arial"/>
      <family val="2"/>
    </font>
    <font>
      <b/>
      <sz val="9"/>
      <color indexed="11"/>
      <name val="Arial"/>
      <family val="2"/>
    </font>
    <font>
      <b/>
      <i/>
      <sz val="9"/>
      <color indexed="8"/>
      <name val="Arial"/>
      <family val="2"/>
    </font>
    <font>
      <i/>
      <sz val="9"/>
      <color indexed="8"/>
      <name val="Arial"/>
      <family val="2"/>
    </font>
    <font>
      <u/>
      <sz val="9"/>
      <color indexed="8"/>
      <name val="Arial"/>
      <family val="2"/>
    </font>
    <font>
      <i/>
      <sz val="9"/>
      <color indexed="11"/>
      <name val="Arial"/>
      <family val="2"/>
    </font>
    <font>
      <i/>
      <sz val="9"/>
      <color indexed="16"/>
      <name val="Arial"/>
      <family val="2"/>
    </font>
    <font>
      <sz val="11"/>
      <color indexed="8"/>
      <name val="Helvetica Neue"/>
      <family val="2"/>
    </font>
    <font>
      <b/>
      <u/>
      <sz val="11"/>
      <color indexed="8"/>
      <name val="Calibri"/>
      <family val="2"/>
    </font>
    <font>
      <sz val="11"/>
      <color indexed="8"/>
      <name val="Calibri"/>
      <family val="2"/>
    </font>
    <font>
      <b/>
      <sz val="12"/>
      <color indexed="8"/>
      <name val="Calibri"/>
      <family val="2"/>
    </font>
    <font>
      <sz val="9"/>
      <color rgb="FF00B050"/>
      <name val="Arial"/>
      <family val="2"/>
    </font>
    <font>
      <sz val="12"/>
      <color indexed="8"/>
      <name val="Calibri"/>
      <family val="2"/>
    </font>
    <font>
      <b/>
      <i/>
      <sz val="9"/>
      <color rgb="FF006600"/>
      <name val="Arial"/>
      <family val="2"/>
    </font>
    <font>
      <b/>
      <sz val="12"/>
      <color indexed="8"/>
      <name val="Arial"/>
      <family val="2"/>
    </font>
    <font>
      <b/>
      <sz val="9"/>
      <color rgb="FF000000"/>
      <name val="Arial"/>
      <family val="2"/>
    </font>
    <font>
      <sz val="12"/>
      <color indexed="8"/>
      <name val="Calibri"/>
      <family val="2"/>
    </font>
    <font>
      <sz val="9"/>
      <color theme="1"/>
      <name val="Arial"/>
      <family val="2"/>
    </font>
    <font>
      <sz val="9"/>
      <color rgb="FF000000"/>
      <name val="Arial"/>
      <family val="2"/>
    </font>
  </fonts>
  <fills count="36">
    <fill>
      <patternFill patternType="none"/>
    </fill>
    <fill>
      <patternFill patternType="gray125"/>
    </fill>
    <fill>
      <patternFill patternType="solid">
        <fgColor indexed="9"/>
        <bgColor auto="1"/>
      </patternFill>
    </fill>
    <fill>
      <patternFill patternType="solid">
        <fgColor indexed="10"/>
        <bgColor auto="1"/>
      </patternFill>
    </fill>
    <fill>
      <patternFill patternType="solid">
        <fgColor indexed="12"/>
        <bgColor auto="1"/>
      </patternFill>
    </fill>
    <fill>
      <patternFill patternType="solid">
        <fgColor indexed="14"/>
        <bgColor auto="1"/>
      </patternFill>
    </fill>
    <fill>
      <patternFill patternType="solid">
        <fgColor indexed="15"/>
        <bgColor auto="1"/>
      </patternFill>
    </fill>
    <fill>
      <patternFill patternType="solid">
        <fgColor indexed="17"/>
        <bgColor auto="1"/>
      </patternFill>
    </fill>
    <fill>
      <patternFill patternType="solid">
        <fgColor indexed="18"/>
        <bgColor auto="1"/>
      </patternFill>
    </fill>
    <fill>
      <patternFill patternType="solid">
        <fgColor indexed="19"/>
        <bgColor auto="1"/>
      </patternFill>
    </fill>
    <fill>
      <patternFill patternType="solid">
        <fgColor indexed="20"/>
        <bgColor auto="1"/>
      </patternFill>
    </fill>
    <fill>
      <patternFill patternType="solid">
        <fgColor indexed="21"/>
        <bgColor auto="1"/>
      </patternFill>
    </fill>
    <fill>
      <patternFill patternType="solid">
        <fgColor indexed="23"/>
        <bgColor auto="1"/>
      </patternFill>
    </fill>
    <fill>
      <patternFill patternType="solid">
        <fgColor indexed="24"/>
        <bgColor auto="1"/>
      </patternFill>
    </fill>
    <fill>
      <patternFill patternType="solid">
        <fgColor indexed="25"/>
        <bgColor auto="1"/>
      </patternFill>
    </fill>
    <fill>
      <patternFill patternType="solid">
        <fgColor indexed="26"/>
        <bgColor auto="1"/>
      </patternFill>
    </fill>
    <fill>
      <patternFill patternType="solid">
        <fgColor indexed="27"/>
        <bgColor auto="1"/>
      </patternFill>
    </fill>
    <fill>
      <patternFill patternType="solid">
        <fgColor indexed="30"/>
        <bgColor auto="1"/>
      </patternFill>
    </fill>
    <fill>
      <patternFill patternType="solid">
        <fgColor indexed="31"/>
        <bgColor auto="1"/>
      </patternFill>
    </fill>
    <fill>
      <patternFill patternType="solid">
        <fgColor indexed="34"/>
        <bgColor auto="1"/>
      </patternFill>
    </fill>
    <fill>
      <patternFill patternType="solid">
        <fgColor indexed="35"/>
        <bgColor auto="1"/>
      </patternFill>
    </fill>
    <fill>
      <patternFill patternType="solid">
        <fgColor indexed="36"/>
        <bgColor auto="1"/>
      </patternFill>
    </fill>
    <fill>
      <patternFill patternType="solid">
        <fgColor indexed="37"/>
        <bgColor auto="1"/>
      </patternFill>
    </fill>
    <fill>
      <patternFill patternType="solid">
        <fgColor rgb="FF99FF33"/>
        <bgColor indexed="64"/>
      </patternFill>
    </fill>
    <fill>
      <patternFill patternType="solid">
        <fgColor theme="9" tint="0.59999389629810485"/>
        <bgColor indexed="64"/>
      </patternFill>
    </fill>
    <fill>
      <patternFill patternType="solid">
        <fgColor theme="3" tint="0.59999389629810485"/>
        <bgColor indexed="64"/>
      </patternFill>
    </fill>
    <fill>
      <patternFill patternType="solid">
        <fgColor theme="0" tint="-0.14999847407452621"/>
        <bgColor indexed="64"/>
      </patternFill>
    </fill>
    <fill>
      <patternFill patternType="solid">
        <fgColor theme="0"/>
        <bgColor indexed="64"/>
      </patternFill>
    </fill>
    <fill>
      <patternFill patternType="solid">
        <fgColor rgb="FFFDCF3F"/>
        <bgColor indexed="64"/>
      </patternFill>
    </fill>
    <fill>
      <patternFill patternType="solid">
        <fgColor theme="8" tint="0.79998168889431442"/>
        <bgColor indexed="64"/>
      </patternFill>
    </fill>
    <fill>
      <patternFill patternType="solid">
        <fgColor theme="0" tint="-0.249977111117893"/>
        <bgColor indexed="64"/>
      </patternFill>
    </fill>
    <fill>
      <patternFill patternType="solid">
        <fgColor rgb="FFFFFF00"/>
        <bgColor indexed="64"/>
      </patternFill>
    </fill>
    <fill>
      <patternFill patternType="solid">
        <fgColor rgb="FFFFFFFF"/>
        <bgColor rgb="FF000000"/>
      </patternFill>
    </fill>
    <fill>
      <patternFill patternType="solid">
        <fgColor rgb="FFFFC000"/>
        <bgColor indexed="64"/>
      </patternFill>
    </fill>
    <fill>
      <patternFill patternType="solid">
        <fgColor rgb="FFFFCCCC"/>
        <bgColor rgb="FF000000"/>
      </patternFill>
    </fill>
    <fill>
      <patternFill patternType="solid">
        <fgColor theme="9"/>
        <bgColor indexed="64"/>
      </patternFill>
    </fill>
  </fills>
  <borders count="82">
    <border>
      <left/>
      <right/>
      <top/>
      <bottom/>
      <diagonal/>
    </border>
    <border>
      <left style="thin">
        <color indexed="13"/>
      </left>
      <right style="thin">
        <color indexed="13"/>
      </right>
      <top style="thin">
        <color indexed="13"/>
      </top>
      <bottom style="thin">
        <color indexed="13"/>
      </bottom>
      <diagonal/>
    </border>
    <border>
      <left style="thin">
        <color indexed="13"/>
      </left>
      <right style="thin">
        <color indexed="13"/>
      </right>
      <top style="thin">
        <color indexed="13"/>
      </top>
      <bottom style="thin">
        <color indexed="8"/>
      </bottom>
      <diagonal/>
    </border>
    <border>
      <left style="thin">
        <color indexed="13"/>
      </left>
      <right style="thin">
        <color indexed="13"/>
      </right>
      <top style="thin">
        <color indexed="13"/>
      </top>
      <bottom/>
      <diagonal/>
    </border>
    <border>
      <left style="thin">
        <color indexed="13"/>
      </left>
      <right style="thin">
        <color indexed="13"/>
      </right>
      <top style="thin">
        <color indexed="13"/>
      </top>
      <bottom style="medium">
        <color indexed="8"/>
      </bottom>
      <diagonal/>
    </border>
    <border>
      <left style="thin">
        <color indexed="13"/>
      </left>
      <right style="thin">
        <color indexed="13"/>
      </right>
      <top style="thin">
        <color indexed="8"/>
      </top>
      <bottom/>
      <diagonal/>
    </border>
    <border>
      <left style="thin">
        <color indexed="13"/>
      </left>
      <right style="thin">
        <color indexed="13"/>
      </right>
      <top style="thin">
        <color indexed="8"/>
      </top>
      <bottom style="thin">
        <color indexed="13"/>
      </bottom>
      <diagonal/>
    </border>
    <border>
      <left style="thin">
        <color indexed="13"/>
      </left>
      <right/>
      <top style="thin">
        <color indexed="13"/>
      </top>
      <bottom style="thin">
        <color indexed="13"/>
      </bottom>
      <diagonal/>
    </border>
    <border>
      <left/>
      <right style="medium">
        <color indexed="8"/>
      </right>
      <top/>
      <bottom/>
      <diagonal/>
    </border>
    <border>
      <left style="medium">
        <color indexed="8"/>
      </left>
      <right style="medium">
        <color indexed="8"/>
      </right>
      <top style="medium">
        <color indexed="8"/>
      </top>
      <bottom style="medium">
        <color indexed="8"/>
      </bottom>
      <diagonal/>
    </border>
    <border>
      <left style="medium">
        <color indexed="8"/>
      </left>
      <right style="thin">
        <color indexed="13"/>
      </right>
      <top style="thin">
        <color indexed="13"/>
      </top>
      <bottom style="thin">
        <color indexed="13"/>
      </bottom>
      <diagonal/>
    </border>
    <border>
      <left/>
      <right/>
      <top/>
      <bottom/>
      <diagonal/>
    </border>
    <border>
      <left/>
      <right style="thin">
        <color indexed="13"/>
      </right>
      <top style="thin">
        <color indexed="13"/>
      </top>
      <bottom style="thin">
        <color indexed="13"/>
      </bottom>
      <diagonal/>
    </border>
    <border>
      <left/>
      <right/>
      <top style="medium">
        <color indexed="8"/>
      </top>
      <bottom/>
      <diagonal/>
    </border>
    <border>
      <left/>
      <right/>
      <top/>
      <bottom style="thin">
        <color indexed="8"/>
      </bottom>
      <diagonal/>
    </border>
    <border>
      <left/>
      <right style="thin">
        <color indexed="13"/>
      </right>
      <top style="thin">
        <color indexed="13"/>
      </top>
      <bottom style="thin">
        <color indexed="8"/>
      </bottom>
      <diagonal/>
    </border>
    <border>
      <left style="thin">
        <color indexed="13"/>
      </left>
      <right/>
      <top/>
      <bottom/>
      <diagonal/>
    </border>
    <border>
      <left style="thin">
        <color indexed="13"/>
      </left>
      <right style="thin">
        <color indexed="13"/>
      </right>
      <top/>
      <bottom style="thin">
        <color indexed="13"/>
      </bottom>
      <diagonal/>
    </border>
    <border>
      <left style="thin">
        <color indexed="13"/>
      </left>
      <right/>
      <top style="thin">
        <color indexed="13"/>
      </top>
      <bottom style="thin">
        <color indexed="8"/>
      </bottom>
      <diagonal/>
    </border>
    <border>
      <left style="thin">
        <color indexed="13"/>
      </left>
      <right style="thin">
        <color indexed="13"/>
      </right>
      <top style="thin">
        <color indexed="8"/>
      </top>
      <bottom style="thin">
        <color indexed="8"/>
      </bottom>
      <diagonal/>
    </border>
    <border>
      <left style="thin">
        <color indexed="13"/>
      </left>
      <right style="thin">
        <color indexed="13"/>
      </right>
      <top/>
      <bottom/>
      <diagonal/>
    </border>
    <border>
      <left/>
      <right style="thin">
        <color indexed="13"/>
      </right>
      <top style="thin">
        <color indexed="13"/>
      </top>
      <bottom/>
      <diagonal/>
    </border>
    <border>
      <left style="thin">
        <color indexed="13"/>
      </left>
      <right/>
      <top style="thin">
        <color indexed="13"/>
      </top>
      <bottom/>
      <diagonal/>
    </border>
    <border>
      <left style="thin">
        <color indexed="13"/>
      </left>
      <right/>
      <top/>
      <bottom style="thin">
        <color indexed="13"/>
      </bottom>
      <diagonal/>
    </border>
    <border>
      <left/>
      <right style="thin">
        <color indexed="13"/>
      </right>
      <top/>
      <bottom style="thin">
        <color indexed="8"/>
      </bottom>
      <diagonal/>
    </border>
    <border>
      <left/>
      <right style="thin">
        <color indexed="13"/>
      </right>
      <top/>
      <bottom style="thin">
        <color indexed="13"/>
      </bottom>
      <diagonal/>
    </border>
    <border>
      <left/>
      <right style="thin">
        <color indexed="13"/>
      </right>
      <top/>
      <bottom/>
      <diagonal/>
    </border>
    <border>
      <left/>
      <right/>
      <top/>
      <bottom style="medium">
        <color indexed="11"/>
      </bottom>
      <diagonal/>
    </border>
    <border>
      <left style="thin">
        <color indexed="13"/>
      </left>
      <right style="medium">
        <color indexed="11"/>
      </right>
      <top style="thin">
        <color indexed="13"/>
      </top>
      <bottom style="thin">
        <color indexed="13"/>
      </bottom>
      <diagonal/>
    </border>
    <border>
      <left style="medium">
        <color indexed="11"/>
      </left>
      <right style="medium">
        <color indexed="11"/>
      </right>
      <top style="medium">
        <color indexed="11"/>
      </top>
      <bottom style="thin">
        <color indexed="13"/>
      </bottom>
      <diagonal/>
    </border>
    <border>
      <left style="medium">
        <color indexed="11"/>
      </left>
      <right/>
      <top/>
      <bottom/>
      <diagonal/>
    </border>
    <border>
      <left style="medium">
        <color indexed="11"/>
      </left>
      <right style="medium">
        <color indexed="11"/>
      </right>
      <top style="thin">
        <color indexed="13"/>
      </top>
      <bottom style="thin">
        <color indexed="13"/>
      </bottom>
      <diagonal/>
    </border>
    <border>
      <left style="medium">
        <color indexed="11"/>
      </left>
      <right style="thin">
        <color indexed="13"/>
      </right>
      <top/>
      <bottom style="thin">
        <color indexed="8"/>
      </bottom>
      <diagonal/>
    </border>
    <border>
      <left style="thin">
        <color indexed="13"/>
      </left>
      <right style="thin">
        <color indexed="13"/>
      </right>
      <top/>
      <bottom style="thin">
        <color indexed="8"/>
      </bottom>
      <diagonal/>
    </border>
    <border>
      <left style="thin">
        <color indexed="13"/>
      </left>
      <right style="medium">
        <color indexed="11"/>
      </right>
      <top style="thin">
        <color indexed="13"/>
      </top>
      <bottom/>
      <diagonal/>
    </border>
    <border>
      <left style="thin">
        <color indexed="13"/>
      </left>
      <right style="medium">
        <color indexed="11"/>
      </right>
      <top/>
      <bottom/>
      <diagonal/>
    </border>
    <border>
      <left style="thin">
        <color indexed="13"/>
      </left>
      <right style="medium">
        <color indexed="11"/>
      </right>
      <top/>
      <bottom style="thin">
        <color indexed="13"/>
      </bottom>
      <diagonal/>
    </border>
    <border>
      <left style="thin">
        <color indexed="13"/>
      </left>
      <right style="thin">
        <color indexed="13"/>
      </right>
      <top style="medium">
        <color indexed="11"/>
      </top>
      <bottom style="thin">
        <color indexed="13"/>
      </bottom>
      <diagonal/>
    </border>
    <border>
      <left/>
      <right style="thin">
        <color indexed="13"/>
      </right>
      <top style="thin">
        <color indexed="8"/>
      </top>
      <bottom style="thin">
        <color indexed="13"/>
      </bottom>
      <diagonal/>
    </border>
    <border>
      <left/>
      <right/>
      <top/>
      <bottom style="thin">
        <color indexed="13"/>
      </bottom>
      <diagonal/>
    </border>
    <border>
      <left style="thin">
        <color indexed="13"/>
      </left>
      <right style="thin">
        <color indexed="13"/>
      </right>
      <top style="thin">
        <color indexed="13"/>
      </top>
      <bottom style="thin">
        <color indexed="28"/>
      </bottom>
      <diagonal/>
    </border>
    <border>
      <left style="thin">
        <color indexed="29"/>
      </left>
      <right style="thin">
        <color indexed="28"/>
      </right>
      <top style="thin">
        <color indexed="28"/>
      </top>
      <bottom style="thin">
        <color indexed="29"/>
      </bottom>
      <diagonal/>
    </border>
    <border>
      <left style="thin">
        <color indexed="28"/>
      </left>
      <right style="thin">
        <color indexed="29"/>
      </right>
      <top style="thin">
        <color indexed="28"/>
      </top>
      <bottom style="thin">
        <color indexed="29"/>
      </bottom>
      <diagonal/>
    </border>
    <border>
      <left style="thin">
        <color indexed="29"/>
      </left>
      <right style="thin">
        <color indexed="29"/>
      </right>
      <top style="thin">
        <color indexed="28"/>
      </top>
      <bottom style="thin">
        <color indexed="29"/>
      </bottom>
      <diagonal/>
    </border>
    <border>
      <left style="thin">
        <color indexed="29"/>
      </left>
      <right style="thin">
        <color indexed="28"/>
      </right>
      <top style="thin">
        <color indexed="29"/>
      </top>
      <bottom style="thin">
        <color indexed="29"/>
      </bottom>
      <diagonal/>
    </border>
    <border>
      <left style="thin">
        <color indexed="28"/>
      </left>
      <right style="thin">
        <color indexed="29"/>
      </right>
      <top style="thin">
        <color indexed="29"/>
      </top>
      <bottom style="thin">
        <color indexed="29"/>
      </bottom>
      <diagonal/>
    </border>
    <border>
      <left style="thin">
        <color indexed="29"/>
      </left>
      <right style="thin">
        <color indexed="29"/>
      </right>
      <top style="thin">
        <color indexed="29"/>
      </top>
      <bottom style="thin">
        <color indexed="29"/>
      </bottom>
      <diagonal/>
    </border>
    <border>
      <left/>
      <right style="thin">
        <color indexed="29"/>
      </right>
      <top style="thin">
        <color indexed="29"/>
      </top>
      <bottom style="thin">
        <color indexed="29"/>
      </bottom>
      <diagonal/>
    </border>
    <border>
      <left style="thin">
        <color indexed="13"/>
      </left>
      <right style="thin">
        <color indexed="13"/>
      </right>
      <top style="thin">
        <color indexed="29"/>
      </top>
      <bottom style="thin">
        <color indexed="13"/>
      </bottom>
      <diagonal/>
    </border>
    <border>
      <left style="thin">
        <color indexed="29"/>
      </left>
      <right style="thin">
        <color indexed="28"/>
      </right>
      <top style="thin">
        <color indexed="8"/>
      </top>
      <bottom style="thin">
        <color indexed="29"/>
      </bottom>
      <diagonal/>
    </border>
    <border>
      <left style="thin">
        <color indexed="28"/>
      </left>
      <right style="thin">
        <color indexed="29"/>
      </right>
      <top style="thin">
        <color indexed="8"/>
      </top>
      <bottom style="thin">
        <color indexed="29"/>
      </bottom>
      <diagonal/>
    </border>
    <border>
      <left style="thin">
        <color indexed="29"/>
      </left>
      <right style="thin">
        <color indexed="29"/>
      </right>
      <top style="thin">
        <color indexed="8"/>
      </top>
      <bottom style="thin">
        <color indexed="29"/>
      </bottom>
      <diagonal/>
    </border>
    <border>
      <left/>
      <right/>
      <top style="thin">
        <color indexed="13"/>
      </top>
      <bottom/>
      <diagonal/>
    </border>
    <border>
      <left style="thin">
        <color indexed="32"/>
      </left>
      <right style="thin">
        <color indexed="32"/>
      </right>
      <top style="thin">
        <color indexed="32"/>
      </top>
      <bottom style="thin">
        <color indexed="33"/>
      </bottom>
      <diagonal/>
    </border>
    <border>
      <left style="thin">
        <color indexed="32"/>
      </left>
      <right style="thin">
        <color indexed="33"/>
      </right>
      <top style="thin">
        <color indexed="33"/>
      </top>
      <bottom style="thin">
        <color indexed="32"/>
      </bottom>
      <diagonal/>
    </border>
    <border>
      <left style="thin">
        <color indexed="33"/>
      </left>
      <right style="thin">
        <color indexed="32"/>
      </right>
      <top style="thin">
        <color indexed="33"/>
      </top>
      <bottom style="thin">
        <color indexed="32"/>
      </bottom>
      <diagonal/>
    </border>
    <border>
      <left style="thin">
        <color indexed="32"/>
      </left>
      <right style="thin">
        <color indexed="32"/>
      </right>
      <top style="thin">
        <color indexed="33"/>
      </top>
      <bottom style="thin">
        <color indexed="32"/>
      </bottom>
      <diagonal/>
    </border>
    <border>
      <left style="thin">
        <color indexed="32"/>
      </left>
      <right style="thin">
        <color indexed="33"/>
      </right>
      <top style="thin">
        <color indexed="32"/>
      </top>
      <bottom style="thin">
        <color indexed="32"/>
      </bottom>
      <diagonal/>
    </border>
    <border>
      <left style="thin">
        <color indexed="33"/>
      </left>
      <right style="thin">
        <color indexed="32"/>
      </right>
      <top style="thin">
        <color indexed="32"/>
      </top>
      <bottom style="thin">
        <color indexed="32"/>
      </bottom>
      <diagonal/>
    </border>
    <border>
      <left style="thin">
        <color indexed="32"/>
      </left>
      <right style="thin">
        <color indexed="32"/>
      </right>
      <top style="thin">
        <color indexed="32"/>
      </top>
      <bottom style="thin">
        <color indexed="32"/>
      </bottom>
      <diagonal/>
    </border>
    <border>
      <left style="medium">
        <color indexed="11"/>
      </left>
      <right/>
      <top/>
      <bottom style="thin">
        <color indexed="13"/>
      </bottom>
      <diagonal/>
    </border>
    <border>
      <left style="medium">
        <color indexed="11"/>
      </left>
      <right/>
      <top style="thin">
        <color indexed="13"/>
      </top>
      <bottom style="thin">
        <color indexed="13"/>
      </bottom>
      <diagonal/>
    </border>
    <border>
      <left style="medium">
        <color indexed="11"/>
      </left>
      <right/>
      <top style="thin">
        <color indexed="13"/>
      </top>
      <bottom/>
      <diagonal/>
    </border>
    <border>
      <left style="thin">
        <color indexed="29"/>
      </left>
      <right style="thin">
        <color indexed="28"/>
      </right>
      <top/>
      <bottom style="thin">
        <color indexed="29"/>
      </bottom>
      <diagonal/>
    </border>
    <border>
      <left style="thin">
        <color indexed="28"/>
      </left>
      <right style="thin">
        <color indexed="29"/>
      </right>
      <top/>
      <bottom style="thin">
        <color indexed="29"/>
      </bottom>
      <diagonal/>
    </border>
    <border>
      <left style="thin">
        <color indexed="29"/>
      </left>
      <right style="thin">
        <color indexed="29"/>
      </right>
      <top/>
      <bottom style="thin">
        <color indexed="29"/>
      </bottom>
      <diagonal/>
    </border>
    <border>
      <left style="thin">
        <color indexed="29"/>
      </left>
      <right style="thin">
        <color indexed="29"/>
      </right>
      <top style="thin">
        <color indexed="29"/>
      </top>
      <bottom style="medium">
        <color theme="1"/>
      </bottom>
      <diagonal/>
    </border>
    <border>
      <left style="thin">
        <color indexed="29"/>
      </left>
      <right style="thin">
        <color indexed="28"/>
      </right>
      <top style="thin">
        <color indexed="29"/>
      </top>
      <bottom style="medium">
        <color theme="1"/>
      </bottom>
      <diagonal/>
    </border>
    <border>
      <left style="thin">
        <color indexed="28"/>
      </left>
      <right style="thin">
        <color indexed="29"/>
      </right>
      <top style="thin">
        <color indexed="29"/>
      </top>
      <bottom style="medium">
        <color theme="1"/>
      </bottom>
      <diagonal/>
    </border>
    <border>
      <left style="thin">
        <color indexed="29"/>
      </left>
      <right style="thin">
        <color indexed="28"/>
      </right>
      <top style="thin">
        <color indexed="29"/>
      </top>
      <bottom/>
      <diagonal/>
    </border>
    <border>
      <left style="thin">
        <color indexed="28"/>
      </left>
      <right style="thin">
        <color indexed="29"/>
      </right>
      <top style="thin">
        <color indexed="29"/>
      </top>
      <bottom/>
      <diagonal/>
    </border>
    <border>
      <left style="thin">
        <color indexed="29"/>
      </left>
      <right style="thin">
        <color indexed="29"/>
      </right>
      <top style="thin">
        <color indexed="29"/>
      </top>
      <bottom/>
      <diagonal/>
    </border>
    <border>
      <left style="thin">
        <color indexed="13"/>
      </left>
      <right style="thin">
        <color indexed="13"/>
      </right>
      <top style="thin">
        <color indexed="13"/>
      </top>
      <bottom style="medium">
        <color theme="1"/>
      </bottom>
      <diagonal/>
    </border>
    <border>
      <left style="thin">
        <color indexed="13"/>
      </left>
      <right style="thin">
        <color indexed="13"/>
      </right>
      <top style="thin">
        <color indexed="13"/>
      </top>
      <bottom style="thin">
        <color theme="0" tint="-0.249977111117893"/>
      </bottom>
      <diagonal/>
    </border>
    <border>
      <left style="thin">
        <color theme="0" tint="-0.249977111117893"/>
      </left>
      <right style="thin">
        <color theme="0" tint="-0.249977111117893"/>
      </right>
      <top style="thin">
        <color theme="0" tint="-0.249977111117893"/>
      </top>
      <bottom style="thin">
        <color theme="0" tint="-0.249977111117893"/>
      </bottom>
      <diagonal/>
    </border>
    <border>
      <left style="thin">
        <color rgb="FFAAAAAA"/>
      </left>
      <right style="thin">
        <color rgb="FFAAAAAA"/>
      </right>
      <top style="thin">
        <color rgb="FF000000"/>
      </top>
      <bottom style="thin">
        <color rgb="FFAAAAAA"/>
      </bottom>
      <diagonal/>
    </border>
    <border>
      <left style="thin">
        <color rgb="FFAAAAAA"/>
      </left>
      <right style="thin">
        <color rgb="FFAAAAAA"/>
      </right>
      <top/>
      <bottom style="thin">
        <color rgb="FFAAAAAA"/>
      </bottom>
      <diagonal/>
    </border>
    <border>
      <left style="thin">
        <color indexed="64"/>
      </left>
      <right style="thin">
        <color indexed="64"/>
      </right>
      <top style="thin">
        <color indexed="64"/>
      </top>
      <bottom style="thin">
        <color indexed="64"/>
      </bottom>
      <diagonal/>
    </border>
    <border>
      <left style="medium">
        <color indexed="11"/>
      </left>
      <right/>
      <top style="thin">
        <color indexed="13"/>
      </top>
      <bottom style="medium">
        <color indexed="11"/>
      </bottom>
      <diagonal/>
    </border>
    <border>
      <left/>
      <right style="thin">
        <color indexed="13"/>
      </right>
      <top style="thin">
        <color indexed="8"/>
      </top>
      <bottom style="thin">
        <color indexed="8"/>
      </bottom>
      <diagonal/>
    </border>
    <border>
      <left style="medium">
        <color indexed="11"/>
      </left>
      <right style="thin">
        <color indexed="13"/>
      </right>
      <top style="thin">
        <color indexed="8"/>
      </top>
      <bottom/>
      <diagonal/>
    </border>
    <border>
      <left style="thin">
        <color indexed="64"/>
      </left>
      <right style="thin">
        <color indexed="64"/>
      </right>
      <top/>
      <bottom/>
      <diagonal/>
    </border>
  </borders>
  <cellStyleXfs count="3">
    <xf numFmtId="0" fontId="0" fillId="0" borderId="0" applyNumberFormat="0" applyFill="0" applyBorder="0" applyProtection="0"/>
    <xf numFmtId="43" fontId="27" fillId="0" borderId="0" applyFont="0" applyFill="0" applyBorder="0" applyAlignment="0" applyProtection="0"/>
    <xf numFmtId="44" fontId="31" fillId="0" borderId="0" applyFont="0" applyFill="0" applyBorder="0" applyAlignment="0" applyProtection="0"/>
  </cellStyleXfs>
  <cellXfs count="424">
    <xf numFmtId="0" fontId="0" fillId="0" borderId="0" xfId="0"/>
    <xf numFmtId="0" fontId="1" fillId="0" borderId="0" xfId="0" applyFont="1" applyAlignment="1">
      <alignment horizontal="left"/>
    </xf>
    <xf numFmtId="0" fontId="0" fillId="2" borderId="0" xfId="0" applyFill="1" applyAlignment="1">
      <alignment horizontal="left"/>
    </xf>
    <xf numFmtId="0" fontId="0" fillId="3" borderId="0" xfId="0" applyFill="1" applyAlignment="1">
      <alignment horizontal="left"/>
    </xf>
    <xf numFmtId="0" fontId="2" fillId="3" borderId="0" xfId="0" applyFont="1" applyFill="1" applyAlignment="1">
      <alignment horizontal="left"/>
    </xf>
    <xf numFmtId="0" fontId="0" fillId="0" borderId="0" xfId="0" applyNumberFormat="1"/>
    <xf numFmtId="49" fontId="4" fillId="4" borderId="1" xfId="0" applyNumberFormat="1" applyFont="1" applyFill="1" applyBorder="1" applyAlignment="1">
      <alignment horizontal="left"/>
    </xf>
    <xf numFmtId="0" fontId="0" fillId="4" borderId="1" xfId="0" applyFill="1" applyBorder="1"/>
    <xf numFmtId="0" fontId="0" fillId="0" borderId="1" xfId="0" applyBorder="1"/>
    <xf numFmtId="49" fontId="5" fillId="4" borderId="1" xfId="0" applyNumberFormat="1" applyFont="1" applyFill="1" applyBorder="1" applyAlignment="1">
      <alignment horizontal="left"/>
    </xf>
    <xf numFmtId="49" fontId="6" fillId="4" borderId="2" xfId="0" applyNumberFormat="1" applyFont="1" applyFill="1" applyBorder="1" applyAlignment="1">
      <alignment horizontal="center" wrapText="1"/>
    </xf>
    <xf numFmtId="0" fontId="0" fillId="4" borderId="3" xfId="0" applyFill="1" applyBorder="1"/>
    <xf numFmtId="0" fontId="0" fillId="4" borderId="4" xfId="0" applyFill="1" applyBorder="1"/>
    <xf numFmtId="49" fontId="6" fillId="4" borderId="1" xfId="0" applyNumberFormat="1" applyFont="1" applyFill="1" applyBorder="1" applyAlignment="1">
      <alignment horizontal="left"/>
    </xf>
    <xf numFmtId="164" fontId="7" fillId="4" borderId="5" xfId="0" applyNumberFormat="1" applyFont="1" applyFill="1" applyBorder="1" applyAlignment="1">
      <alignment wrapText="1"/>
    </xf>
    <xf numFmtId="0" fontId="0" fillId="4" borderId="6" xfId="0" applyFill="1" applyBorder="1"/>
    <xf numFmtId="0" fontId="0" fillId="4" borderId="7" xfId="0" applyFill="1" applyBorder="1"/>
    <xf numFmtId="49" fontId="8" fillId="5" borderId="8" xfId="0" applyNumberFormat="1" applyFont="1" applyFill="1" applyBorder="1"/>
    <xf numFmtId="49" fontId="8" fillId="6" borderId="9" xfId="0" applyNumberFormat="1" applyFont="1" applyFill="1" applyBorder="1" applyAlignment="1">
      <alignment horizontal="center"/>
    </xf>
    <xf numFmtId="49" fontId="9" fillId="4" borderId="10" xfId="0" applyNumberFormat="1" applyFont="1" applyFill="1" applyBorder="1"/>
    <xf numFmtId="49" fontId="10" fillId="0" borderId="1" xfId="0" applyNumberFormat="1" applyFont="1" applyBorder="1" applyAlignment="1">
      <alignment horizontal="right"/>
    </xf>
    <xf numFmtId="49" fontId="7" fillId="0" borderId="1" xfId="0" applyNumberFormat="1" applyFont="1" applyBorder="1"/>
    <xf numFmtId="49" fontId="6" fillId="4" borderId="7" xfId="0" applyNumberFormat="1" applyFont="1" applyFill="1" applyBorder="1" applyAlignment="1">
      <alignment horizontal="left"/>
    </xf>
    <xf numFmtId="164" fontId="7" fillId="7" borderId="11" xfId="0" applyNumberFormat="1" applyFont="1" applyFill="1" applyBorder="1" applyAlignment="1">
      <alignment wrapText="1"/>
    </xf>
    <xf numFmtId="164" fontId="6" fillId="4" borderId="12" xfId="0" applyNumberFormat="1" applyFont="1" applyFill="1" applyBorder="1" applyAlignment="1">
      <alignment horizontal="right" wrapText="1"/>
    </xf>
    <xf numFmtId="49" fontId="10" fillId="4" borderId="1" xfId="0" applyNumberFormat="1" applyFont="1" applyFill="1" applyBorder="1"/>
    <xf numFmtId="0" fontId="11" fillId="5" borderId="11" xfId="0" applyFont="1" applyFill="1" applyBorder="1"/>
    <xf numFmtId="0" fontId="11" fillId="5" borderId="13" xfId="0" applyFont="1" applyFill="1" applyBorder="1"/>
    <xf numFmtId="0" fontId="11" fillId="4" borderId="12" xfId="0" applyFont="1" applyFill="1" applyBorder="1"/>
    <xf numFmtId="164" fontId="7" fillId="7" borderId="14" xfId="0" applyNumberFormat="1" applyFont="1" applyFill="1" applyBorder="1" applyAlignment="1">
      <alignment horizontal="right" wrapText="1"/>
    </xf>
    <xf numFmtId="164" fontId="6" fillId="4" borderId="15" xfId="0" applyNumberFormat="1" applyFont="1" applyFill="1" applyBorder="1" applyAlignment="1">
      <alignment horizontal="right" wrapText="1"/>
    </xf>
    <xf numFmtId="49" fontId="12" fillId="5" borderId="11" xfId="0" applyNumberFormat="1" applyFont="1" applyFill="1" applyBorder="1"/>
    <xf numFmtId="49" fontId="6" fillId="4" borderId="3" xfId="0" applyNumberFormat="1" applyFont="1" applyFill="1" applyBorder="1" applyAlignment="1">
      <alignment horizontal="left"/>
    </xf>
    <xf numFmtId="165" fontId="6" fillId="4" borderId="6" xfId="0" applyNumberFormat="1" applyFont="1" applyFill="1" applyBorder="1" applyAlignment="1">
      <alignment horizontal="right" wrapText="1"/>
    </xf>
    <xf numFmtId="165" fontId="6" fillId="4" borderId="5" xfId="0" applyNumberFormat="1" applyFont="1" applyFill="1" applyBorder="1" applyAlignment="1">
      <alignment horizontal="right" wrapText="1"/>
    </xf>
    <xf numFmtId="49" fontId="8" fillId="5" borderId="11" xfId="0" applyNumberFormat="1" applyFont="1" applyFill="1" applyBorder="1"/>
    <xf numFmtId="10" fontId="8" fillId="8" borderId="11" xfId="0" applyNumberFormat="1" applyFont="1" applyFill="1" applyBorder="1" applyAlignment="1">
      <alignment horizontal="center"/>
    </xf>
    <xf numFmtId="49" fontId="9" fillId="4" borderId="12" xfId="0" applyNumberFormat="1" applyFont="1" applyFill="1" applyBorder="1"/>
    <xf numFmtId="49" fontId="6" fillId="9" borderId="16" xfId="0" applyNumberFormat="1" applyFont="1" applyFill="1" applyBorder="1" applyAlignment="1">
      <alignment horizontal="left"/>
    </xf>
    <xf numFmtId="164" fontId="7" fillId="4" borderId="12" xfId="0" applyNumberFormat="1" applyFont="1" applyFill="1" applyBorder="1" applyAlignment="1">
      <alignment horizontal="right" wrapText="1"/>
    </xf>
    <xf numFmtId="164" fontId="7" fillId="4" borderId="1" xfId="0" applyNumberFormat="1" applyFont="1" applyFill="1" applyBorder="1" applyAlignment="1">
      <alignment horizontal="right" wrapText="1"/>
    </xf>
    <xf numFmtId="164" fontId="7" fillId="4" borderId="7" xfId="0" applyNumberFormat="1" applyFont="1" applyFill="1" applyBorder="1" applyAlignment="1">
      <alignment horizontal="right" wrapText="1"/>
    </xf>
    <xf numFmtId="164" fontId="6" fillId="9" borderId="11" xfId="0" applyNumberFormat="1" applyFont="1" applyFill="1" applyBorder="1" applyAlignment="1">
      <alignment horizontal="right" wrapText="1"/>
    </xf>
    <xf numFmtId="0" fontId="0" fillId="4" borderId="12" xfId="0" applyFill="1" applyBorder="1"/>
    <xf numFmtId="49" fontId="8" fillId="10" borderId="11" xfId="0" applyNumberFormat="1" applyFont="1" applyFill="1" applyBorder="1"/>
    <xf numFmtId="10" fontId="8" fillId="10" borderId="11" xfId="0" applyNumberFormat="1" applyFont="1" applyFill="1" applyBorder="1" applyAlignment="1">
      <alignment horizontal="center"/>
    </xf>
    <xf numFmtId="49" fontId="6" fillId="11" borderId="16" xfId="0" applyNumberFormat="1" applyFont="1" applyFill="1" applyBorder="1" applyAlignment="1">
      <alignment horizontal="left"/>
    </xf>
    <xf numFmtId="164" fontId="6" fillId="11" borderId="11" xfId="0" applyNumberFormat="1" applyFont="1" applyFill="1" applyBorder="1" applyAlignment="1">
      <alignment horizontal="right" wrapText="1"/>
    </xf>
    <xf numFmtId="0" fontId="0" fillId="4" borderId="17" xfId="0" applyFill="1" applyBorder="1"/>
    <xf numFmtId="0" fontId="11" fillId="4" borderId="1" xfId="0" applyFont="1" applyFill="1" applyBorder="1"/>
    <xf numFmtId="0" fontId="9" fillId="4" borderId="12" xfId="0" applyFont="1" applyFill="1" applyBorder="1"/>
    <xf numFmtId="164" fontId="7" fillId="4" borderId="15" xfId="0" applyNumberFormat="1" applyFont="1" applyFill="1" applyBorder="1" applyAlignment="1">
      <alignment horizontal="right" wrapText="1"/>
    </xf>
    <xf numFmtId="164" fontId="7" fillId="4" borderId="2" xfId="0" applyNumberFormat="1" applyFont="1" applyFill="1" applyBorder="1" applyAlignment="1">
      <alignment horizontal="right" wrapText="1"/>
    </xf>
    <xf numFmtId="164" fontId="7" fillId="4" borderId="18" xfId="0" applyNumberFormat="1" applyFont="1" applyFill="1" applyBorder="1" applyAlignment="1">
      <alignment horizontal="right" wrapText="1"/>
    </xf>
    <xf numFmtId="164" fontId="6" fillId="11" borderId="14" xfId="0" applyNumberFormat="1" applyFont="1" applyFill="1" applyBorder="1" applyAlignment="1">
      <alignment horizontal="right" wrapText="1"/>
    </xf>
    <xf numFmtId="49" fontId="6" fillId="4" borderId="17" xfId="0" applyNumberFormat="1" applyFont="1" applyFill="1" applyBorder="1" applyAlignment="1">
      <alignment horizontal="left"/>
    </xf>
    <xf numFmtId="165" fontId="6" fillId="4" borderId="19" xfId="0" applyNumberFormat="1" applyFont="1" applyFill="1" applyBorder="1" applyAlignment="1">
      <alignment horizontal="right" wrapText="1"/>
    </xf>
    <xf numFmtId="164" fontId="7" fillId="4" borderId="3" xfId="0" applyNumberFormat="1" applyFont="1" applyFill="1" applyBorder="1" applyAlignment="1">
      <alignment wrapText="1"/>
    </xf>
    <xf numFmtId="164" fontId="7" fillId="7" borderId="11" xfId="0" applyNumberFormat="1" applyFont="1" applyFill="1" applyBorder="1" applyAlignment="1">
      <alignment horizontal="right" wrapText="1"/>
    </xf>
    <xf numFmtId="164" fontId="7" fillId="4" borderId="17" xfId="0" applyNumberFormat="1" applyFont="1" applyFill="1" applyBorder="1" applyAlignment="1">
      <alignment wrapText="1"/>
    </xf>
    <xf numFmtId="164" fontId="6" fillId="4" borderId="1" xfId="0" applyNumberFormat="1" applyFont="1" applyFill="1" applyBorder="1" applyAlignment="1">
      <alignment horizontal="right" wrapText="1"/>
    </xf>
    <xf numFmtId="164" fontId="6" fillId="4" borderId="2" xfId="0" applyNumberFormat="1" applyFont="1" applyFill="1" applyBorder="1" applyAlignment="1">
      <alignment horizontal="right" wrapText="1"/>
    </xf>
    <xf numFmtId="164" fontId="7" fillId="4" borderId="1" xfId="0" applyNumberFormat="1" applyFont="1" applyFill="1" applyBorder="1" applyAlignment="1">
      <alignment wrapText="1"/>
    </xf>
    <xf numFmtId="164" fontId="7" fillId="4" borderId="3" xfId="0" applyNumberFormat="1" applyFont="1" applyFill="1" applyBorder="1" applyAlignment="1">
      <alignment horizontal="right" wrapText="1"/>
    </xf>
    <xf numFmtId="49" fontId="6" fillId="4" borderId="20" xfId="0" applyNumberFormat="1" applyFont="1" applyFill="1" applyBorder="1" applyAlignment="1">
      <alignment horizontal="left"/>
    </xf>
    <xf numFmtId="164" fontId="13" fillId="4" borderId="1" xfId="0" applyNumberFormat="1" applyFont="1" applyFill="1" applyBorder="1" applyAlignment="1">
      <alignment horizontal="right" wrapText="1"/>
    </xf>
    <xf numFmtId="164" fontId="6" fillId="4" borderId="20" xfId="0" applyNumberFormat="1" applyFont="1" applyFill="1" applyBorder="1" applyAlignment="1">
      <alignment horizontal="right" wrapText="1"/>
    </xf>
    <xf numFmtId="49" fontId="9" fillId="4" borderId="1" xfId="0" applyNumberFormat="1" applyFont="1" applyFill="1" applyBorder="1"/>
    <xf numFmtId="164" fontId="13" fillId="4" borderId="3" xfId="0" applyNumberFormat="1" applyFont="1" applyFill="1" applyBorder="1" applyAlignment="1">
      <alignment horizontal="right" wrapText="1"/>
    </xf>
    <xf numFmtId="164" fontId="6" fillId="4" borderId="17" xfId="0" applyNumberFormat="1" applyFont="1" applyFill="1" applyBorder="1" applyAlignment="1">
      <alignment horizontal="right" wrapText="1"/>
    </xf>
    <xf numFmtId="164" fontId="13" fillId="4" borderId="17" xfId="0" applyNumberFormat="1" applyFont="1" applyFill="1" applyBorder="1" applyAlignment="1">
      <alignment horizontal="right" wrapText="1"/>
    </xf>
    <xf numFmtId="164" fontId="6" fillId="4" borderId="3" xfId="0" applyNumberFormat="1" applyFont="1" applyFill="1" applyBorder="1" applyAlignment="1">
      <alignment horizontal="right" wrapText="1"/>
    </xf>
    <xf numFmtId="164" fontId="7" fillId="4" borderId="21" xfId="0" applyNumberFormat="1" applyFont="1" applyFill="1" applyBorder="1" applyAlignment="1">
      <alignment horizontal="right" wrapText="1"/>
    </xf>
    <xf numFmtId="164" fontId="7" fillId="4" borderId="22" xfId="0" applyNumberFormat="1" applyFont="1" applyFill="1" applyBorder="1" applyAlignment="1">
      <alignment horizontal="right" wrapText="1"/>
    </xf>
    <xf numFmtId="49" fontId="6" fillId="4" borderId="23" xfId="0" applyNumberFormat="1" applyFont="1" applyFill="1" applyBorder="1" applyAlignment="1">
      <alignment horizontal="left"/>
    </xf>
    <xf numFmtId="164" fontId="7" fillId="7" borderId="14" xfId="0" applyNumberFormat="1" applyFont="1" applyFill="1" applyBorder="1" applyAlignment="1">
      <alignment wrapText="1"/>
    </xf>
    <xf numFmtId="164" fontId="6" fillId="4" borderId="24" xfId="0" applyNumberFormat="1" applyFont="1" applyFill="1" applyBorder="1" applyAlignment="1">
      <alignment horizontal="right" wrapText="1"/>
    </xf>
    <xf numFmtId="49" fontId="6" fillId="4" borderId="22" xfId="0" applyNumberFormat="1" applyFont="1" applyFill="1" applyBorder="1" applyAlignment="1">
      <alignment horizontal="left"/>
    </xf>
    <xf numFmtId="164" fontId="6" fillId="4" borderId="21" xfId="0" applyNumberFormat="1" applyFont="1" applyFill="1" applyBorder="1" applyAlignment="1">
      <alignment horizontal="right" wrapText="1"/>
    </xf>
    <xf numFmtId="164" fontId="7" fillId="4" borderId="25" xfId="0" applyNumberFormat="1" applyFont="1" applyFill="1" applyBorder="1" applyAlignment="1">
      <alignment horizontal="right" wrapText="1"/>
    </xf>
    <xf numFmtId="164" fontId="7" fillId="4" borderId="17" xfId="0" applyNumberFormat="1" applyFont="1" applyFill="1" applyBorder="1" applyAlignment="1">
      <alignment horizontal="right" wrapText="1"/>
    </xf>
    <xf numFmtId="164" fontId="7" fillId="4" borderId="23" xfId="0" applyNumberFormat="1" applyFont="1" applyFill="1" applyBorder="1" applyAlignment="1">
      <alignment horizontal="right" wrapText="1"/>
    </xf>
    <xf numFmtId="49" fontId="6" fillId="4" borderId="16" xfId="0" applyNumberFormat="1" applyFont="1" applyFill="1" applyBorder="1" applyAlignment="1">
      <alignment horizontal="left"/>
    </xf>
    <xf numFmtId="164" fontId="6" fillId="4" borderId="26" xfId="0" applyNumberFormat="1" applyFont="1" applyFill="1" applyBorder="1" applyAlignment="1">
      <alignment horizontal="right" wrapText="1"/>
    </xf>
    <xf numFmtId="0" fontId="6" fillId="4" borderId="1" xfId="0" applyFont="1" applyFill="1" applyBorder="1" applyAlignment="1">
      <alignment horizontal="left"/>
    </xf>
    <xf numFmtId="166" fontId="0" fillId="4" borderId="1" xfId="0" applyNumberFormat="1" applyFill="1" applyBorder="1"/>
    <xf numFmtId="0" fontId="0" fillId="4" borderId="1" xfId="0" applyNumberFormat="1" applyFill="1" applyBorder="1"/>
    <xf numFmtId="167" fontId="6" fillId="4" borderId="1" xfId="0" applyNumberFormat="1" applyFont="1" applyFill="1" applyBorder="1"/>
    <xf numFmtId="0" fontId="14" fillId="4" borderId="1" xfId="0" applyFont="1" applyFill="1" applyBorder="1"/>
    <xf numFmtId="167" fontId="6" fillId="4" borderId="3" xfId="0" applyNumberFormat="1" applyFont="1" applyFill="1" applyBorder="1"/>
    <xf numFmtId="0" fontId="14" fillId="4" borderId="7" xfId="0" applyFont="1" applyFill="1" applyBorder="1"/>
    <xf numFmtId="49" fontId="15" fillId="11" borderId="27" xfId="0" applyNumberFormat="1" applyFont="1" applyFill="1" applyBorder="1" applyAlignment="1">
      <alignment horizontal="center"/>
    </xf>
    <xf numFmtId="0" fontId="0" fillId="4" borderId="21" xfId="0" applyFill="1" applyBorder="1"/>
    <xf numFmtId="0" fontId="0" fillId="4" borderId="28" xfId="0" applyFill="1" applyBorder="1" applyAlignment="1">
      <alignment wrapText="1"/>
    </xf>
    <xf numFmtId="49" fontId="6" fillId="4" borderId="29" xfId="0" applyNumberFormat="1" applyFont="1" applyFill="1" applyBorder="1" applyAlignment="1">
      <alignment horizontal="center" wrapText="1"/>
    </xf>
    <xf numFmtId="49" fontId="6" fillId="12" borderId="11" xfId="0" applyNumberFormat="1" applyFont="1" applyFill="1" applyBorder="1" applyAlignment="1">
      <alignment horizontal="center"/>
    </xf>
    <xf numFmtId="49" fontId="6" fillId="12" borderId="26" xfId="0" applyNumberFormat="1" applyFont="1" applyFill="1" applyBorder="1" applyAlignment="1">
      <alignment horizontal="center"/>
    </xf>
    <xf numFmtId="49" fontId="16" fillId="4" borderId="31" xfId="0" applyNumberFormat="1" applyFont="1" applyFill="1" applyBorder="1" applyAlignment="1">
      <alignment horizontal="center" wrapText="1"/>
    </xf>
    <xf numFmtId="49" fontId="6" fillId="4" borderId="32" xfId="0" applyNumberFormat="1" applyFont="1" applyFill="1" applyBorder="1" applyAlignment="1">
      <alignment horizontal="center"/>
    </xf>
    <xf numFmtId="49" fontId="6" fillId="4" borderId="33" xfId="0" applyNumberFormat="1" applyFont="1" applyFill="1" applyBorder="1" applyAlignment="1">
      <alignment horizontal="center"/>
    </xf>
    <xf numFmtId="49" fontId="6" fillId="4" borderId="28" xfId="0" applyNumberFormat="1" applyFont="1" applyFill="1" applyBorder="1" applyAlignment="1">
      <alignment horizontal="left" wrapText="1"/>
    </xf>
    <xf numFmtId="167" fontId="6" fillId="4" borderId="31" xfId="0" applyNumberFormat="1" applyFont="1" applyFill="1" applyBorder="1" applyAlignment="1">
      <alignment horizontal="left" wrapText="1"/>
    </xf>
    <xf numFmtId="164" fontId="7" fillId="4" borderId="6" xfId="0" applyNumberFormat="1" applyFont="1" applyFill="1" applyBorder="1" applyAlignment="1">
      <alignment wrapText="1"/>
    </xf>
    <xf numFmtId="49" fontId="6" fillId="4" borderId="34" xfId="0" applyNumberFormat="1" applyFont="1" applyFill="1" applyBorder="1" applyAlignment="1">
      <alignment horizontal="left" wrapText="1"/>
    </xf>
    <xf numFmtId="49" fontId="6" fillId="11" borderId="35" xfId="0" applyNumberFormat="1" applyFont="1" applyFill="1" applyBorder="1" applyAlignment="1">
      <alignment horizontal="left" wrapText="1"/>
    </xf>
    <xf numFmtId="49" fontId="6" fillId="4" borderId="35" xfId="0" applyNumberFormat="1" applyFont="1" applyFill="1" applyBorder="1" applyAlignment="1">
      <alignment horizontal="left" wrapText="1"/>
    </xf>
    <xf numFmtId="49" fontId="6" fillId="4" borderId="36" xfId="0" applyNumberFormat="1" applyFont="1" applyFill="1" applyBorder="1" applyAlignment="1">
      <alignment horizontal="left" wrapText="1"/>
    </xf>
    <xf numFmtId="49" fontId="6" fillId="4" borderId="28" xfId="0" applyNumberFormat="1" applyFont="1" applyFill="1" applyBorder="1" applyAlignment="1">
      <alignment horizontal="left"/>
    </xf>
    <xf numFmtId="164" fontId="7" fillId="4" borderId="2" xfId="0" applyNumberFormat="1" applyFont="1" applyFill="1" applyBorder="1" applyAlignment="1">
      <alignment wrapText="1"/>
    </xf>
    <xf numFmtId="165" fontId="6" fillId="4" borderId="2" xfId="0" applyNumberFormat="1" applyFont="1" applyFill="1" applyBorder="1" applyAlignment="1">
      <alignment horizontal="right" wrapText="1"/>
    </xf>
    <xf numFmtId="49" fontId="6" fillId="4" borderId="35" xfId="0" applyNumberFormat="1" applyFont="1" applyFill="1" applyBorder="1" applyAlignment="1">
      <alignment horizontal="left"/>
    </xf>
    <xf numFmtId="49" fontId="6" fillId="4" borderId="34" xfId="0" applyNumberFormat="1" applyFont="1" applyFill="1" applyBorder="1" applyAlignment="1">
      <alignment horizontal="left"/>
    </xf>
    <xf numFmtId="165" fontId="6" fillId="4" borderId="1" xfId="0" applyNumberFormat="1" applyFont="1" applyFill="1" applyBorder="1" applyAlignment="1">
      <alignment horizontal="right" wrapText="1"/>
    </xf>
    <xf numFmtId="0" fontId="6" fillId="4" borderId="1" xfId="0" applyFont="1" applyFill="1" applyBorder="1" applyAlignment="1">
      <alignment horizontal="left" wrapText="1"/>
    </xf>
    <xf numFmtId="167" fontId="6" fillId="4" borderId="37" xfId="0" applyNumberFormat="1" applyFont="1" applyFill="1" applyBorder="1" applyAlignment="1">
      <alignment horizontal="left" wrapText="1"/>
    </xf>
    <xf numFmtId="16" fontId="6" fillId="4" borderId="1" xfId="0" applyNumberFormat="1" applyFont="1" applyFill="1" applyBorder="1" applyAlignment="1">
      <alignment horizontal="center" wrapText="1"/>
    </xf>
    <xf numFmtId="49" fontId="6" fillId="13" borderId="16" xfId="0" applyNumberFormat="1" applyFont="1" applyFill="1" applyBorder="1"/>
    <xf numFmtId="17" fontId="6" fillId="4" borderId="38" xfId="0" applyNumberFormat="1" applyFont="1" applyFill="1" applyBorder="1" applyAlignment="1">
      <alignment horizontal="center" wrapText="1"/>
    </xf>
    <xf numFmtId="17" fontId="6" fillId="4" borderId="6" xfId="0" applyNumberFormat="1" applyFont="1" applyFill="1" applyBorder="1" applyAlignment="1">
      <alignment horizontal="center" wrapText="1"/>
    </xf>
    <xf numFmtId="16" fontId="6" fillId="4" borderId="6" xfId="0" applyNumberFormat="1" applyFont="1" applyFill="1" applyBorder="1" applyAlignment="1">
      <alignment horizontal="center" wrapText="1"/>
    </xf>
    <xf numFmtId="17" fontId="6" fillId="4" borderId="17" xfId="0" applyNumberFormat="1" applyFont="1" applyFill="1" applyBorder="1" applyAlignment="1">
      <alignment horizontal="center" wrapText="1"/>
    </xf>
    <xf numFmtId="17" fontId="6" fillId="4" borderId="1" xfId="0" applyNumberFormat="1" applyFont="1" applyFill="1" applyBorder="1" applyAlignment="1">
      <alignment horizontal="center" wrapText="1"/>
    </xf>
    <xf numFmtId="49" fontId="6" fillId="4" borderId="1" xfId="0" applyNumberFormat="1" applyFont="1" applyFill="1" applyBorder="1"/>
    <xf numFmtId="167" fontId="7" fillId="4" borderId="1" xfId="0" applyNumberFormat="1" applyFont="1" applyFill="1" applyBorder="1"/>
    <xf numFmtId="0" fontId="7" fillId="4" borderId="1" xfId="0" applyFont="1" applyFill="1" applyBorder="1"/>
    <xf numFmtId="0" fontId="7" fillId="4" borderId="3" xfId="0" applyFont="1" applyFill="1" applyBorder="1"/>
    <xf numFmtId="49" fontId="17" fillId="14" borderId="16" xfId="0" applyNumberFormat="1" applyFont="1" applyFill="1" applyBorder="1"/>
    <xf numFmtId="167" fontId="17" fillId="14" borderId="11" xfId="0" applyNumberFormat="1" applyFont="1" applyFill="1" applyBorder="1"/>
    <xf numFmtId="0" fontId="7" fillId="4" borderId="12" xfId="0" applyFont="1" applyFill="1" applyBorder="1"/>
    <xf numFmtId="0" fontId="17" fillId="4" borderId="17" xfId="0" applyFont="1" applyFill="1" applyBorder="1"/>
    <xf numFmtId="167" fontId="17" fillId="4" borderId="17" xfId="0" applyNumberFormat="1" applyFont="1" applyFill="1" applyBorder="1"/>
    <xf numFmtId="167" fontId="17" fillId="4" borderId="1" xfId="0" applyNumberFormat="1" applyFont="1" applyFill="1" applyBorder="1"/>
    <xf numFmtId="49" fontId="6" fillId="10" borderId="1" xfId="0" applyNumberFormat="1" applyFont="1" applyFill="1" applyBorder="1"/>
    <xf numFmtId="167" fontId="7" fillId="4" borderId="6" xfId="0" applyNumberFormat="1" applyFont="1" applyFill="1" applyBorder="1"/>
    <xf numFmtId="167" fontId="7" fillId="4" borderId="3" xfId="0" applyNumberFormat="1" applyFont="1" applyFill="1" applyBorder="1"/>
    <xf numFmtId="49" fontId="6" fillId="4" borderId="7" xfId="0" applyNumberFormat="1" applyFont="1" applyFill="1" applyBorder="1"/>
    <xf numFmtId="167" fontId="7" fillId="7" borderId="11" xfId="0" applyNumberFormat="1" applyFont="1" applyFill="1" applyBorder="1"/>
    <xf numFmtId="167" fontId="6" fillId="4" borderId="12" xfId="0" applyNumberFormat="1" applyFont="1" applyFill="1" applyBorder="1"/>
    <xf numFmtId="49" fontId="6" fillId="4" borderId="22" xfId="0" applyNumberFormat="1" applyFont="1" applyFill="1" applyBorder="1"/>
    <xf numFmtId="167" fontId="6" fillId="4" borderId="21" xfId="0" applyNumberFormat="1" applyFont="1" applyFill="1" applyBorder="1"/>
    <xf numFmtId="0" fontId="10" fillId="4" borderId="1" xfId="0" applyFont="1" applyFill="1" applyBorder="1"/>
    <xf numFmtId="0" fontId="6" fillId="4" borderId="17" xfId="0" applyFont="1" applyFill="1" applyBorder="1"/>
    <xf numFmtId="167" fontId="7" fillId="4" borderId="17" xfId="0" applyNumberFormat="1" applyFont="1" applyFill="1" applyBorder="1"/>
    <xf numFmtId="0" fontId="7" fillId="4" borderId="17" xfId="0" applyFont="1" applyFill="1" applyBorder="1"/>
    <xf numFmtId="49" fontId="6" fillId="4" borderId="2" xfId="0" applyNumberFormat="1" applyFont="1" applyFill="1" applyBorder="1" applyAlignment="1">
      <alignment horizontal="center"/>
    </xf>
    <xf numFmtId="49" fontId="6" fillId="4" borderId="3" xfId="0" applyNumberFormat="1" applyFont="1" applyFill="1" applyBorder="1"/>
    <xf numFmtId="49" fontId="18" fillId="15" borderId="16" xfId="0" applyNumberFormat="1" applyFont="1" applyFill="1" applyBorder="1" applyAlignment="1">
      <alignment horizontal="left"/>
    </xf>
    <xf numFmtId="167" fontId="18" fillId="15" borderId="11" xfId="0" applyNumberFormat="1" applyFont="1" applyFill="1" applyBorder="1"/>
    <xf numFmtId="49" fontId="6" fillId="4" borderId="17" xfId="0" applyNumberFormat="1" applyFont="1" applyFill="1" applyBorder="1"/>
    <xf numFmtId="167" fontId="7" fillId="4" borderId="20" xfId="0" applyNumberFormat="1" applyFont="1" applyFill="1" applyBorder="1"/>
    <xf numFmtId="167" fontId="6" fillId="4" borderId="17" xfId="0" applyNumberFormat="1" applyFont="1" applyFill="1" applyBorder="1"/>
    <xf numFmtId="49" fontId="6" fillId="9" borderId="16" xfId="0" applyNumberFormat="1" applyFont="1" applyFill="1" applyBorder="1"/>
    <xf numFmtId="167" fontId="6" fillId="4" borderId="7" xfId="0" applyNumberFormat="1" applyFont="1" applyFill="1" applyBorder="1"/>
    <xf numFmtId="49" fontId="6" fillId="16" borderId="16" xfId="0" applyNumberFormat="1" applyFont="1" applyFill="1" applyBorder="1"/>
    <xf numFmtId="167" fontId="7" fillId="10" borderId="1" xfId="0" applyNumberFormat="1" applyFont="1" applyFill="1" applyBorder="1"/>
    <xf numFmtId="49" fontId="9" fillId="10" borderId="1" xfId="0" applyNumberFormat="1" applyFont="1" applyFill="1" applyBorder="1"/>
    <xf numFmtId="49" fontId="6" fillId="9" borderId="23" xfId="0" applyNumberFormat="1" applyFont="1" applyFill="1" applyBorder="1"/>
    <xf numFmtId="167" fontId="6" fillId="9" borderId="39" xfId="0" applyNumberFormat="1" applyFont="1" applyFill="1" applyBorder="1"/>
    <xf numFmtId="0" fontId="0" fillId="4" borderId="40" xfId="0" applyFill="1" applyBorder="1"/>
    <xf numFmtId="49" fontId="6" fillId="4" borderId="41" xfId="0" applyNumberFormat="1" applyFont="1" applyFill="1" applyBorder="1" applyAlignment="1">
      <alignment horizontal="center" vertical="center"/>
    </xf>
    <xf numFmtId="49" fontId="6" fillId="4" borderId="42" xfId="0" applyNumberFormat="1" applyFont="1" applyFill="1" applyBorder="1" applyAlignment="1">
      <alignment horizontal="center" vertical="center"/>
    </xf>
    <xf numFmtId="49" fontId="6" fillId="4" borderId="43" xfId="0" applyNumberFormat="1" applyFont="1" applyFill="1" applyBorder="1" applyAlignment="1">
      <alignment horizontal="center" vertical="center" wrapText="1"/>
    </xf>
    <xf numFmtId="49" fontId="6" fillId="4" borderId="43" xfId="0" applyNumberFormat="1" applyFont="1" applyFill="1" applyBorder="1" applyAlignment="1">
      <alignment horizontal="center" vertical="center"/>
    </xf>
    <xf numFmtId="0" fontId="6" fillId="15" borderId="44" xfId="0" applyFont="1" applyFill="1" applyBorder="1" applyAlignment="1">
      <alignment vertical="top" wrapText="1"/>
    </xf>
    <xf numFmtId="49" fontId="0" fillId="4" borderId="45" xfId="0" applyNumberFormat="1" applyFill="1" applyBorder="1"/>
    <xf numFmtId="0" fontId="0" fillId="4" borderId="46" xfId="0" applyFill="1" applyBorder="1" applyAlignment="1">
      <alignment vertical="top" wrapText="1"/>
    </xf>
    <xf numFmtId="49" fontId="6" fillId="4" borderId="44" xfId="0" applyNumberFormat="1" applyFont="1" applyFill="1" applyBorder="1"/>
    <xf numFmtId="168" fontId="0" fillId="4" borderId="46" xfId="0" applyNumberFormat="1" applyFill="1" applyBorder="1"/>
    <xf numFmtId="167" fontId="7" fillId="4" borderId="46" xfId="0" applyNumberFormat="1" applyFont="1" applyFill="1" applyBorder="1" applyAlignment="1">
      <alignment horizontal="left"/>
    </xf>
    <xf numFmtId="167" fontId="7" fillId="4" borderId="46" xfId="0" applyNumberFormat="1" applyFont="1" applyFill="1" applyBorder="1" applyAlignment="1">
      <alignment horizontal="left" readingOrder="1"/>
    </xf>
    <xf numFmtId="167" fontId="0" fillId="4" borderId="46" xfId="0" applyNumberFormat="1" applyFill="1" applyBorder="1"/>
    <xf numFmtId="168" fontId="7" fillId="4" borderId="46" xfId="0" applyNumberFormat="1" applyFont="1" applyFill="1" applyBorder="1" applyAlignment="1">
      <alignment horizontal="left"/>
    </xf>
    <xf numFmtId="0" fontId="0" fillId="4" borderId="45" xfId="0" applyFill="1" applyBorder="1" applyAlignment="1">
      <alignment vertical="top" wrapText="1"/>
    </xf>
    <xf numFmtId="4" fontId="0" fillId="4" borderId="46" xfId="0" applyNumberFormat="1" applyFill="1" applyBorder="1"/>
    <xf numFmtId="49" fontId="7" fillId="4" borderId="46" xfId="0" applyNumberFormat="1" applyFont="1" applyFill="1" applyBorder="1" applyAlignment="1">
      <alignment horizontal="left" readingOrder="1"/>
    </xf>
    <xf numFmtId="49" fontId="0" fillId="4" borderId="46" xfId="0" applyNumberFormat="1" applyFill="1" applyBorder="1"/>
    <xf numFmtId="167" fontId="0" fillId="4" borderId="47" xfId="0" applyNumberFormat="1" applyFill="1" applyBorder="1" applyAlignment="1">
      <alignment vertical="top" wrapText="1"/>
    </xf>
    <xf numFmtId="167" fontId="0" fillId="4" borderId="46" xfId="0" applyNumberFormat="1" applyFill="1" applyBorder="1" applyAlignment="1">
      <alignment vertical="top" wrapText="1"/>
    </xf>
    <xf numFmtId="49" fontId="6" fillId="4" borderId="44" xfId="0" applyNumberFormat="1" applyFont="1" applyFill="1" applyBorder="1" applyAlignment="1">
      <alignment vertical="top" wrapText="1"/>
    </xf>
    <xf numFmtId="49" fontId="0" fillId="4" borderId="45" xfId="0" applyNumberFormat="1" applyFill="1" applyBorder="1" applyAlignment="1">
      <alignment vertical="top" wrapText="1"/>
    </xf>
    <xf numFmtId="168" fontId="0" fillId="4" borderId="46" xfId="0" applyNumberFormat="1" applyFill="1" applyBorder="1" applyAlignment="1">
      <alignment vertical="top" wrapText="1"/>
    </xf>
    <xf numFmtId="0" fontId="0" fillId="4" borderId="46" xfId="0" applyFill="1" applyBorder="1"/>
    <xf numFmtId="0" fontId="7" fillId="4" borderId="46" xfId="0" applyFont="1" applyFill="1" applyBorder="1" applyAlignment="1">
      <alignment horizontal="left" readingOrder="1"/>
    </xf>
    <xf numFmtId="0" fontId="0" fillId="4" borderId="45" xfId="0" applyFill="1" applyBorder="1"/>
    <xf numFmtId="169" fontId="0" fillId="4" borderId="46" xfId="0" applyNumberFormat="1" applyFill="1" applyBorder="1"/>
    <xf numFmtId="168" fontId="19" fillId="4" borderId="46" xfId="0" applyNumberFormat="1" applyFont="1" applyFill="1" applyBorder="1"/>
    <xf numFmtId="49" fontId="6" fillId="15" borderId="44" xfId="0" applyNumberFormat="1" applyFont="1" applyFill="1" applyBorder="1" applyAlignment="1">
      <alignment vertical="top" wrapText="1"/>
    </xf>
    <xf numFmtId="168" fontId="7" fillId="4" borderId="46" xfId="0" applyNumberFormat="1" applyFont="1" applyFill="1" applyBorder="1" applyAlignment="1">
      <alignment horizontal="left" readingOrder="1"/>
    </xf>
    <xf numFmtId="49" fontId="6" fillId="17" borderId="44" xfId="0" applyNumberFormat="1" applyFont="1" applyFill="1" applyBorder="1" applyAlignment="1">
      <alignment vertical="top" wrapText="1"/>
    </xf>
    <xf numFmtId="49" fontId="0" fillId="17" borderId="45" xfId="0" applyNumberFormat="1" applyFill="1" applyBorder="1"/>
    <xf numFmtId="168" fontId="7" fillId="17" borderId="46" xfId="0" applyNumberFormat="1" applyFont="1" applyFill="1" applyBorder="1" applyAlignment="1">
      <alignment horizontal="left"/>
    </xf>
    <xf numFmtId="167" fontId="0" fillId="17" borderId="46" xfId="0" applyNumberFormat="1" applyFill="1" applyBorder="1"/>
    <xf numFmtId="0" fontId="6" fillId="17" borderId="44" xfId="0" applyFont="1" applyFill="1" applyBorder="1" applyAlignment="1">
      <alignment vertical="top" wrapText="1"/>
    </xf>
    <xf numFmtId="168" fontId="0" fillId="17" borderId="46" xfId="0" applyNumberFormat="1" applyFill="1" applyBorder="1"/>
    <xf numFmtId="0" fontId="0" fillId="4" borderId="48" xfId="0" applyFill="1" applyBorder="1"/>
    <xf numFmtId="49" fontId="0" fillId="4" borderId="1" xfId="0" applyNumberFormat="1" applyFill="1" applyBorder="1"/>
    <xf numFmtId="167" fontId="0" fillId="4" borderId="1" xfId="0" applyNumberFormat="1" applyFill="1" applyBorder="1"/>
    <xf numFmtId="49" fontId="20" fillId="4" borderId="1" xfId="0" applyNumberFormat="1" applyFont="1" applyFill="1" applyBorder="1" applyAlignment="1">
      <alignment horizontal="left"/>
    </xf>
    <xf numFmtId="0" fontId="20" fillId="4" borderId="1" xfId="0" applyFont="1" applyFill="1" applyBorder="1" applyAlignment="1">
      <alignment horizontal="left"/>
    </xf>
    <xf numFmtId="0" fontId="6" fillId="4" borderId="1" xfId="0" applyFont="1" applyFill="1" applyBorder="1"/>
    <xf numFmtId="49" fontId="21" fillId="4" borderId="1" xfId="0" applyNumberFormat="1" applyFont="1" applyFill="1" applyBorder="1"/>
    <xf numFmtId="167" fontId="21" fillId="4" borderId="1" xfId="0" applyNumberFormat="1" applyFont="1" applyFill="1" applyBorder="1"/>
    <xf numFmtId="49" fontId="6" fillId="4" borderId="49" xfId="0" applyNumberFormat="1" applyFont="1" applyFill="1" applyBorder="1" applyAlignment="1">
      <alignment horizontal="center" vertical="center"/>
    </xf>
    <xf numFmtId="0" fontId="6" fillId="4" borderId="50" xfId="0" applyFont="1" applyFill="1" applyBorder="1" applyAlignment="1">
      <alignment horizontal="center" vertical="center"/>
    </xf>
    <xf numFmtId="0" fontId="6" fillId="4" borderId="51" xfId="0" applyFont="1" applyFill="1" applyBorder="1" applyAlignment="1">
      <alignment horizontal="center" vertical="center"/>
    </xf>
    <xf numFmtId="49" fontId="6" fillId="4" borderId="51" xfId="0" applyNumberFormat="1" applyFont="1" applyFill="1" applyBorder="1" applyAlignment="1">
      <alignment horizontal="center" vertical="center"/>
    </xf>
    <xf numFmtId="49" fontId="20" fillId="4" borderId="45" xfId="0" applyNumberFormat="1" applyFont="1" applyFill="1" applyBorder="1"/>
    <xf numFmtId="170" fontId="0" fillId="4" borderId="46" xfId="0" applyNumberFormat="1" applyFill="1" applyBorder="1"/>
    <xf numFmtId="49" fontId="6" fillId="10" borderId="44" xfId="0" applyNumberFormat="1" applyFont="1" applyFill="1" applyBorder="1" applyAlignment="1">
      <alignment vertical="top" wrapText="1"/>
    </xf>
    <xf numFmtId="49" fontId="4" fillId="4" borderId="22" xfId="0" applyNumberFormat="1" applyFont="1" applyFill="1" applyBorder="1" applyAlignment="1">
      <alignment horizontal="left"/>
    </xf>
    <xf numFmtId="0" fontId="0" fillId="4" borderId="52" xfId="0" applyFill="1" applyBorder="1"/>
    <xf numFmtId="49" fontId="5" fillId="4" borderId="16" xfId="0" applyNumberFormat="1" applyFont="1" applyFill="1" applyBorder="1" applyAlignment="1">
      <alignment horizontal="left"/>
    </xf>
    <xf numFmtId="0" fontId="0" fillId="4" borderId="11" xfId="0" applyFill="1" applyBorder="1"/>
    <xf numFmtId="0" fontId="0" fillId="4" borderId="26" xfId="0" applyFill="1" applyBorder="1"/>
    <xf numFmtId="0" fontId="0" fillId="4" borderId="16" xfId="0" applyFill="1" applyBorder="1"/>
    <xf numFmtId="49" fontId="23" fillId="4" borderId="11" xfId="0" applyNumberFormat="1" applyFont="1" applyFill="1" applyBorder="1"/>
    <xf numFmtId="0" fontId="0" fillId="4" borderId="16" xfId="0" applyNumberFormat="1" applyFill="1" applyBorder="1"/>
    <xf numFmtId="49" fontId="0" fillId="4" borderId="11" xfId="0" applyNumberFormat="1" applyFill="1" applyBorder="1"/>
    <xf numFmtId="0" fontId="24" fillId="4" borderId="16" xfId="0" applyFont="1" applyFill="1" applyBorder="1"/>
    <xf numFmtId="0" fontId="24" fillId="4" borderId="11" xfId="0" applyFont="1" applyFill="1" applyBorder="1"/>
    <xf numFmtId="0" fontId="24" fillId="4" borderId="16" xfId="0" applyNumberFormat="1" applyFont="1" applyFill="1" applyBorder="1"/>
    <xf numFmtId="49" fontId="24" fillId="4" borderId="11" xfId="0" applyNumberFormat="1" applyFont="1" applyFill="1" applyBorder="1"/>
    <xf numFmtId="0" fontId="0" fillId="4" borderId="23" xfId="0" applyFill="1" applyBorder="1"/>
    <xf numFmtId="0" fontId="0" fillId="4" borderId="39" xfId="0" applyFill="1" applyBorder="1"/>
    <xf numFmtId="0" fontId="0" fillId="4" borderId="25" xfId="0" applyFill="1" applyBorder="1"/>
    <xf numFmtId="49" fontId="25" fillId="18" borderId="53" xfId="0" applyNumberFormat="1" applyFont="1" applyFill="1" applyBorder="1"/>
    <xf numFmtId="0" fontId="25" fillId="18" borderId="53" xfId="0" applyFont="1" applyFill="1" applyBorder="1"/>
    <xf numFmtId="49" fontId="25" fillId="19" borderId="54" xfId="0" applyNumberFormat="1" applyFont="1" applyFill="1" applyBorder="1" applyAlignment="1">
      <alignment wrapText="1"/>
    </xf>
    <xf numFmtId="49" fontId="0" fillId="0" borderId="55" xfId="0" applyNumberFormat="1" applyBorder="1" applyAlignment="1">
      <alignment wrapText="1"/>
    </xf>
    <xf numFmtId="49" fontId="0" fillId="0" borderId="56" xfId="0" applyNumberFormat="1" applyBorder="1" applyAlignment="1">
      <alignment wrapText="1"/>
    </xf>
    <xf numFmtId="0" fontId="0" fillId="0" borderId="56" xfId="0" applyBorder="1" applyAlignment="1">
      <alignment wrapText="1"/>
    </xf>
    <xf numFmtId="49" fontId="25" fillId="19" borderId="57" xfId="0" applyNumberFormat="1" applyFont="1" applyFill="1" applyBorder="1" applyAlignment="1">
      <alignment wrapText="1"/>
    </xf>
    <xf numFmtId="49" fontId="0" fillId="0" borderId="58" xfId="0" applyNumberFormat="1" applyBorder="1" applyAlignment="1">
      <alignment wrapText="1"/>
    </xf>
    <xf numFmtId="49" fontId="0" fillId="0" borderId="59" xfId="0" applyNumberFormat="1" applyBorder="1" applyAlignment="1">
      <alignment wrapText="1"/>
    </xf>
    <xf numFmtId="0" fontId="0" fillId="0" borderId="59" xfId="0" applyBorder="1" applyAlignment="1">
      <alignment wrapText="1"/>
    </xf>
    <xf numFmtId="0" fontId="25" fillId="19" borderId="57" xfId="0" applyFont="1" applyFill="1" applyBorder="1" applyAlignment="1">
      <alignment wrapText="1"/>
    </xf>
    <xf numFmtId="0" fontId="0" fillId="0" borderId="58" xfId="0" applyBorder="1" applyAlignment="1">
      <alignment wrapText="1"/>
    </xf>
    <xf numFmtId="0" fontId="25" fillId="19" borderId="57" xfId="0" applyFont="1" applyFill="1" applyBorder="1"/>
    <xf numFmtId="0" fontId="0" fillId="0" borderId="58" xfId="0" applyBorder="1"/>
    <xf numFmtId="0" fontId="0" fillId="0" borderId="59" xfId="0" applyBorder="1"/>
    <xf numFmtId="49" fontId="25" fillId="19" borderId="57" xfId="0" applyNumberFormat="1" applyFont="1" applyFill="1" applyBorder="1"/>
    <xf numFmtId="49" fontId="0" fillId="0" borderId="58" xfId="0" applyNumberFormat="1" applyBorder="1"/>
    <xf numFmtId="49" fontId="0" fillId="0" borderId="59" xfId="0" applyNumberFormat="1" applyBorder="1"/>
    <xf numFmtId="49" fontId="25" fillId="20" borderId="57" xfId="0" applyNumberFormat="1" applyFont="1" applyFill="1" applyBorder="1"/>
    <xf numFmtId="49" fontId="25" fillId="21" borderId="57" xfId="0" applyNumberFormat="1" applyFont="1" applyFill="1" applyBorder="1"/>
    <xf numFmtId="49" fontId="0" fillId="21" borderId="58" xfId="0" applyNumberFormat="1" applyFill="1" applyBorder="1"/>
    <xf numFmtId="49" fontId="25" fillId="22" borderId="57" xfId="0" applyNumberFormat="1" applyFont="1" applyFill="1" applyBorder="1"/>
    <xf numFmtId="49" fontId="0" fillId="4" borderId="58" xfId="0" applyNumberFormat="1" applyFill="1" applyBorder="1"/>
    <xf numFmtId="167" fontId="6" fillId="0" borderId="12" xfId="0" applyNumberFormat="1" applyFont="1" applyFill="1" applyBorder="1"/>
    <xf numFmtId="0" fontId="26" fillId="0" borderId="1" xfId="0" applyFont="1" applyFill="1" applyBorder="1"/>
    <xf numFmtId="0" fontId="7" fillId="0" borderId="1" xfId="0" applyFont="1" applyFill="1" applyBorder="1"/>
    <xf numFmtId="0" fontId="0" fillId="0" borderId="1" xfId="0" applyFill="1" applyBorder="1"/>
    <xf numFmtId="0" fontId="0" fillId="0" borderId="0" xfId="0" applyNumberFormat="1" applyFill="1"/>
    <xf numFmtId="164" fontId="6" fillId="23" borderId="11" xfId="0" applyNumberFormat="1" applyFont="1" applyFill="1" applyBorder="1" applyAlignment="1">
      <alignment horizontal="right" wrapText="1"/>
    </xf>
    <xf numFmtId="49" fontId="6" fillId="23" borderId="16" xfId="0" applyNumberFormat="1" applyFont="1" applyFill="1" applyBorder="1" applyAlignment="1">
      <alignment horizontal="left"/>
    </xf>
    <xf numFmtId="167" fontId="7" fillId="0" borderId="3" xfId="0" applyNumberFormat="1" applyFont="1" applyFill="1" applyBorder="1"/>
    <xf numFmtId="49" fontId="6" fillId="0" borderId="1" xfId="0" applyNumberFormat="1" applyFont="1" applyFill="1" applyBorder="1"/>
    <xf numFmtId="49" fontId="6" fillId="0" borderId="3" xfId="0" applyNumberFormat="1" applyFont="1" applyFill="1" applyBorder="1"/>
    <xf numFmtId="43" fontId="6" fillId="13" borderId="16" xfId="1" applyFont="1" applyFill="1" applyBorder="1"/>
    <xf numFmtId="0" fontId="28" fillId="0" borderId="1" xfId="0" applyFont="1" applyFill="1" applyBorder="1"/>
    <xf numFmtId="43" fontId="6" fillId="24" borderId="16" xfId="1" applyFont="1" applyFill="1" applyBorder="1"/>
    <xf numFmtId="49" fontId="6" fillId="25" borderId="7" xfId="0" applyNumberFormat="1" applyFont="1" applyFill="1" applyBorder="1" applyAlignment="1">
      <alignment horizontal="left"/>
    </xf>
    <xf numFmtId="0" fontId="7" fillId="4" borderId="25" xfId="0" applyFont="1" applyFill="1" applyBorder="1"/>
    <xf numFmtId="171" fontId="7" fillId="4" borderId="6" xfId="1" applyNumberFormat="1" applyFont="1" applyFill="1" applyBorder="1"/>
    <xf numFmtId="171" fontId="7" fillId="4" borderId="1" xfId="1" applyNumberFormat="1" applyFont="1" applyFill="1" applyBorder="1"/>
    <xf numFmtId="49" fontId="29" fillId="13" borderId="16" xfId="0" applyNumberFormat="1" applyFont="1" applyFill="1" applyBorder="1"/>
    <xf numFmtId="49" fontId="29" fillId="16" borderId="16" xfId="0" applyNumberFormat="1" applyFont="1" applyFill="1" applyBorder="1"/>
    <xf numFmtId="167" fontId="6" fillId="23" borderId="12" xfId="0" applyNumberFormat="1" applyFont="1" applyFill="1" applyBorder="1"/>
    <xf numFmtId="167" fontId="6" fillId="23" borderId="11" xfId="0" applyNumberFormat="1" applyFont="1" applyFill="1" applyBorder="1"/>
    <xf numFmtId="0" fontId="27" fillId="0" borderId="0" xfId="0" applyNumberFormat="1" applyFont="1"/>
    <xf numFmtId="49" fontId="27" fillId="17" borderId="45" xfId="0" applyNumberFormat="1" applyFont="1" applyFill="1" applyBorder="1"/>
    <xf numFmtId="0" fontId="27" fillId="0" borderId="11" xfId="0" applyNumberFormat="1" applyFont="1" applyFill="1" applyBorder="1"/>
    <xf numFmtId="0" fontId="0" fillId="0" borderId="11" xfId="0" applyNumberFormat="1" applyFill="1" applyBorder="1"/>
    <xf numFmtId="49" fontId="15" fillId="11" borderId="11" xfId="0" applyNumberFormat="1" applyFont="1" applyFill="1" applyBorder="1" applyAlignment="1">
      <alignment horizontal="center"/>
    </xf>
    <xf numFmtId="49" fontId="16" fillId="4" borderId="30" xfId="0" applyNumberFormat="1" applyFont="1" applyFill="1" applyBorder="1" applyAlignment="1">
      <alignment horizontal="center" wrapText="1"/>
    </xf>
    <xf numFmtId="167" fontId="6" fillId="4" borderId="60" xfId="0" applyNumberFormat="1" applyFont="1" applyFill="1" applyBorder="1" applyAlignment="1">
      <alignment horizontal="left" wrapText="1"/>
    </xf>
    <xf numFmtId="167" fontId="6" fillId="4" borderId="61" xfId="0" applyNumberFormat="1" applyFont="1" applyFill="1" applyBorder="1" applyAlignment="1">
      <alignment horizontal="left" wrapText="1"/>
    </xf>
    <xf numFmtId="167" fontId="6" fillId="4" borderId="62" xfId="0" applyNumberFormat="1" applyFont="1" applyFill="1" applyBorder="1" applyAlignment="1">
      <alignment horizontal="left" wrapText="1"/>
    </xf>
    <xf numFmtId="167" fontId="6" fillId="11" borderId="30" xfId="0" applyNumberFormat="1" applyFont="1" applyFill="1" applyBorder="1" applyAlignment="1">
      <alignment horizontal="right" wrapText="1"/>
    </xf>
    <xf numFmtId="167" fontId="6" fillId="4" borderId="30" xfId="0" applyNumberFormat="1" applyFont="1" applyFill="1" applyBorder="1" applyAlignment="1">
      <alignment horizontal="right" wrapText="1"/>
    </xf>
    <xf numFmtId="167" fontId="6" fillId="4" borderId="62" xfId="0" applyNumberFormat="1" applyFont="1" applyFill="1" applyBorder="1" applyAlignment="1">
      <alignment horizontal="left"/>
    </xf>
    <xf numFmtId="167" fontId="6" fillId="4" borderId="30" xfId="0" applyNumberFormat="1" applyFont="1" applyFill="1" applyBorder="1" applyAlignment="1">
      <alignment horizontal="left" wrapText="1"/>
    </xf>
    <xf numFmtId="167" fontId="0" fillId="4" borderId="30" xfId="0" applyNumberFormat="1" applyFill="1" applyBorder="1" applyAlignment="1">
      <alignment wrapText="1"/>
    </xf>
    <xf numFmtId="167" fontId="7" fillId="4" borderId="30" xfId="0" applyNumberFormat="1" applyFont="1" applyFill="1" applyBorder="1" applyAlignment="1">
      <alignment horizontal="right" wrapText="1"/>
    </xf>
    <xf numFmtId="167" fontId="6" fillId="4" borderId="30" xfId="0" applyNumberFormat="1" applyFont="1" applyFill="1" applyBorder="1" applyAlignment="1">
      <alignment horizontal="left"/>
    </xf>
    <xf numFmtId="167" fontId="6" fillId="11" borderId="30" xfId="0" applyNumberFormat="1" applyFont="1" applyFill="1" applyBorder="1" applyAlignment="1">
      <alignment horizontal="left" wrapText="1"/>
    </xf>
    <xf numFmtId="167" fontId="6" fillId="4" borderId="61" xfId="0" applyNumberFormat="1" applyFont="1" applyFill="1" applyBorder="1" applyAlignment="1">
      <alignment horizontal="left"/>
    </xf>
    <xf numFmtId="167" fontId="6" fillId="4" borderId="17" xfId="0" applyNumberFormat="1" applyFont="1" applyFill="1" applyBorder="1" applyAlignment="1">
      <alignment horizontal="left" wrapText="1"/>
    </xf>
    <xf numFmtId="44" fontId="0" fillId="0" borderId="0" xfId="0" applyNumberFormat="1"/>
    <xf numFmtId="44" fontId="0" fillId="4" borderId="1" xfId="0" applyNumberFormat="1" applyFill="1" applyBorder="1"/>
    <xf numFmtId="0" fontId="27" fillId="4" borderId="1" xfId="0" applyFont="1" applyFill="1" applyBorder="1"/>
    <xf numFmtId="49" fontId="6" fillId="0" borderId="44" xfId="0" applyNumberFormat="1" applyFont="1" applyFill="1" applyBorder="1" applyAlignment="1">
      <alignment vertical="top" wrapText="1"/>
    </xf>
    <xf numFmtId="49" fontId="6" fillId="26" borderId="44" xfId="0" applyNumberFormat="1" applyFont="1" applyFill="1" applyBorder="1" applyAlignment="1">
      <alignment vertical="top" wrapText="1"/>
    </xf>
    <xf numFmtId="49" fontId="6" fillId="27" borderId="44" xfId="0" applyNumberFormat="1" applyFont="1" applyFill="1" applyBorder="1" applyAlignment="1">
      <alignment vertical="top" wrapText="1"/>
    </xf>
    <xf numFmtId="0" fontId="6" fillId="28" borderId="44" xfId="0" applyFont="1" applyFill="1" applyBorder="1" applyAlignment="1">
      <alignment vertical="top" wrapText="1"/>
    </xf>
    <xf numFmtId="49" fontId="27" fillId="28" borderId="45" xfId="0" applyNumberFormat="1" applyFont="1" applyFill="1" applyBorder="1"/>
    <xf numFmtId="168" fontId="0" fillId="28" borderId="46" xfId="0" applyNumberFormat="1" applyFill="1" applyBorder="1"/>
    <xf numFmtId="167" fontId="0" fillId="28" borderId="46" xfId="0" applyNumberFormat="1" applyFill="1" applyBorder="1"/>
    <xf numFmtId="168" fontId="27" fillId="17" borderId="46" xfId="0" applyNumberFormat="1" applyFont="1" applyFill="1" applyBorder="1" applyAlignment="1">
      <alignment horizontal="left"/>
    </xf>
    <xf numFmtId="49" fontId="0" fillId="28" borderId="45" xfId="0" applyNumberFormat="1" applyFill="1" applyBorder="1"/>
    <xf numFmtId="49" fontId="0" fillId="0" borderId="45" xfId="0" applyNumberFormat="1" applyFill="1" applyBorder="1"/>
    <xf numFmtId="168" fontId="7" fillId="0" borderId="46" xfId="0" applyNumberFormat="1" applyFont="1" applyFill="1" applyBorder="1" applyAlignment="1">
      <alignment horizontal="left"/>
    </xf>
    <xf numFmtId="167" fontId="7" fillId="0" borderId="46" xfId="0" applyNumberFormat="1" applyFont="1" applyFill="1" applyBorder="1" applyAlignment="1">
      <alignment horizontal="left"/>
    </xf>
    <xf numFmtId="0" fontId="6" fillId="0" borderId="44" xfId="0" applyFont="1" applyFill="1" applyBorder="1" applyAlignment="1">
      <alignment vertical="top" wrapText="1"/>
    </xf>
    <xf numFmtId="168" fontId="0" fillId="0" borderId="46" xfId="0" applyNumberFormat="1" applyFill="1" applyBorder="1"/>
    <xf numFmtId="167" fontId="7" fillId="0" borderId="46" xfId="0" applyNumberFormat="1" applyFont="1" applyFill="1" applyBorder="1" applyAlignment="1">
      <alignment horizontal="left" readingOrder="1"/>
    </xf>
    <xf numFmtId="167" fontId="0" fillId="0" borderId="46" xfId="0" applyNumberFormat="1" applyFill="1" applyBorder="1"/>
    <xf numFmtId="0" fontId="6" fillId="26" borderId="44" xfId="0" applyFont="1" applyFill="1" applyBorder="1" applyAlignment="1">
      <alignment vertical="top" wrapText="1"/>
    </xf>
    <xf numFmtId="49" fontId="6" fillId="26" borderId="44" xfId="0" applyNumberFormat="1" applyFont="1" applyFill="1" applyBorder="1"/>
    <xf numFmtId="0" fontId="6" fillId="15" borderId="63" xfId="0" applyFont="1" applyFill="1" applyBorder="1" applyAlignment="1">
      <alignment vertical="top" wrapText="1"/>
    </xf>
    <xf numFmtId="49" fontId="0" fillId="4" borderId="64" xfId="0" applyNumberFormat="1" applyFill="1" applyBorder="1"/>
    <xf numFmtId="168" fontId="0" fillId="4" borderId="65" xfId="0" applyNumberFormat="1" applyFill="1" applyBorder="1"/>
    <xf numFmtId="167" fontId="0" fillId="4" borderId="65" xfId="0" applyNumberFormat="1" applyFill="1" applyBorder="1"/>
    <xf numFmtId="0" fontId="6" fillId="15" borderId="67" xfId="0" applyFont="1" applyFill="1" applyBorder="1" applyAlignment="1">
      <alignment vertical="top" wrapText="1"/>
    </xf>
    <xf numFmtId="49" fontId="0" fillId="0" borderId="68" xfId="0" applyNumberFormat="1" applyFill="1" applyBorder="1"/>
    <xf numFmtId="168" fontId="0" fillId="0" borderId="66" xfId="0" applyNumberFormat="1" applyFill="1" applyBorder="1"/>
    <xf numFmtId="167" fontId="0" fillId="0" borderId="66" xfId="0" applyNumberFormat="1" applyFill="1" applyBorder="1"/>
    <xf numFmtId="167" fontId="0" fillId="4" borderId="66" xfId="0" applyNumberFormat="1" applyFill="1" applyBorder="1"/>
    <xf numFmtId="49" fontId="0" fillId="0" borderId="70" xfId="0" applyNumberFormat="1" applyFill="1" applyBorder="1"/>
    <xf numFmtId="168" fontId="0" fillId="0" borderId="71" xfId="0" applyNumberFormat="1" applyFill="1" applyBorder="1"/>
    <xf numFmtId="167" fontId="0" fillId="0" borderId="71" xfId="0" applyNumberFormat="1" applyFill="1" applyBorder="1"/>
    <xf numFmtId="167" fontId="0" fillId="4" borderId="71" xfId="0" applyNumberFormat="1" applyFill="1" applyBorder="1"/>
    <xf numFmtId="0" fontId="7" fillId="0" borderId="69" xfId="0" applyFont="1" applyFill="1" applyBorder="1" applyAlignment="1">
      <alignment vertical="top" wrapText="1"/>
    </xf>
    <xf numFmtId="49" fontId="20" fillId="4" borderId="64" xfId="0" applyNumberFormat="1" applyFont="1" applyFill="1" applyBorder="1"/>
    <xf numFmtId="49" fontId="0" fillId="4" borderId="65" xfId="0" applyNumberFormat="1" applyFill="1" applyBorder="1"/>
    <xf numFmtId="170" fontId="0" fillId="4" borderId="65" xfId="0" applyNumberFormat="1" applyFill="1" applyBorder="1"/>
    <xf numFmtId="49" fontId="20" fillId="4" borderId="68" xfId="0" applyNumberFormat="1" applyFont="1" applyFill="1" applyBorder="1"/>
    <xf numFmtId="49" fontId="0" fillId="4" borderId="66" xfId="0" applyNumberFormat="1" applyFill="1" applyBorder="1"/>
    <xf numFmtId="170" fontId="0" fillId="4" borderId="66" xfId="0" applyNumberFormat="1" applyFill="1" applyBorder="1"/>
    <xf numFmtId="0" fontId="0" fillId="4" borderId="72" xfId="0" applyFill="1" applyBorder="1"/>
    <xf numFmtId="49" fontId="6" fillId="4" borderId="33" xfId="0" applyNumberFormat="1" applyFont="1" applyFill="1" applyBorder="1"/>
    <xf numFmtId="0" fontId="0" fillId="4" borderId="33" xfId="0" applyFill="1" applyBorder="1"/>
    <xf numFmtId="0" fontId="7" fillId="27" borderId="44" xfId="0" applyFont="1" applyFill="1" applyBorder="1" applyAlignment="1">
      <alignment vertical="top" wrapText="1"/>
    </xf>
    <xf numFmtId="49" fontId="6" fillId="27" borderId="16" xfId="0" applyNumberFormat="1" applyFont="1" applyFill="1" applyBorder="1" applyAlignment="1">
      <alignment horizontal="left"/>
    </xf>
    <xf numFmtId="49" fontId="17" fillId="28" borderId="16" xfId="0" applyNumberFormat="1" applyFont="1" applyFill="1" applyBorder="1"/>
    <xf numFmtId="49" fontId="6" fillId="28" borderId="3" xfId="0" applyNumberFormat="1" applyFont="1" applyFill="1" applyBorder="1"/>
    <xf numFmtId="167" fontId="17" fillId="28" borderId="11" xfId="0" applyNumberFormat="1" applyFont="1" applyFill="1" applyBorder="1"/>
    <xf numFmtId="164" fontId="6" fillId="27" borderId="11" xfId="0" applyNumberFormat="1" applyFont="1" applyFill="1" applyBorder="1" applyAlignment="1">
      <alignment horizontal="right" wrapText="1"/>
    </xf>
    <xf numFmtId="0" fontId="6" fillId="29" borderId="44" xfId="0" applyFont="1" applyFill="1" applyBorder="1" applyAlignment="1">
      <alignment vertical="top" wrapText="1"/>
    </xf>
    <xf numFmtId="49" fontId="27" fillId="29" borderId="45" xfId="0" applyNumberFormat="1" applyFont="1" applyFill="1" applyBorder="1"/>
    <xf numFmtId="168" fontId="0" fillId="29" borderId="46" xfId="0" applyNumberFormat="1" applyFill="1" applyBorder="1"/>
    <xf numFmtId="167" fontId="0" fillId="29" borderId="46" xfId="0" applyNumberFormat="1" applyFill="1" applyBorder="1"/>
    <xf numFmtId="49" fontId="17" fillId="29" borderId="16" xfId="0" applyNumberFormat="1" applyFont="1" applyFill="1" applyBorder="1"/>
    <xf numFmtId="0" fontId="7" fillId="29" borderId="17" xfId="0" applyFont="1" applyFill="1" applyBorder="1"/>
    <xf numFmtId="0" fontId="30" fillId="4" borderId="17" xfId="0" applyFont="1" applyFill="1" applyBorder="1"/>
    <xf numFmtId="4" fontId="7" fillId="4" borderId="1" xfId="0" applyNumberFormat="1" applyFont="1" applyFill="1" applyBorder="1"/>
    <xf numFmtId="4" fontId="7" fillId="4" borderId="17" xfId="0" applyNumberFormat="1" applyFont="1" applyFill="1" applyBorder="1"/>
    <xf numFmtId="4" fontId="18" fillId="29" borderId="1" xfId="0" applyNumberFormat="1" applyFont="1" applyFill="1" applyBorder="1"/>
    <xf numFmtId="4" fontId="18" fillId="29" borderId="17" xfId="0" applyNumberFormat="1" applyFont="1" applyFill="1" applyBorder="1"/>
    <xf numFmtId="17" fontId="6" fillId="4" borderId="17" xfId="0" applyNumberFormat="1" applyFont="1" applyFill="1" applyBorder="1" applyAlignment="1">
      <alignment horizontal="left" wrapText="1"/>
    </xf>
    <xf numFmtId="44" fontId="7" fillId="4" borderId="3" xfId="2" applyFont="1" applyFill="1" applyBorder="1"/>
    <xf numFmtId="44" fontId="7" fillId="4" borderId="17" xfId="0" applyNumberFormat="1" applyFont="1" applyFill="1" applyBorder="1"/>
    <xf numFmtId="44" fontId="17" fillId="30" borderId="1" xfId="0" applyNumberFormat="1" applyFont="1" applyFill="1" applyBorder="1" applyAlignment="1">
      <alignment horizontal="center" wrapText="1"/>
    </xf>
    <xf numFmtId="49" fontId="17" fillId="27" borderId="16" xfId="0" applyNumberFormat="1" applyFont="1" applyFill="1" applyBorder="1"/>
    <xf numFmtId="44" fontId="17" fillId="27" borderId="1" xfId="0" applyNumberFormat="1" applyFont="1" applyFill="1" applyBorder="1" applyAlignment="1">
      <alignment horizontal="center" wrapText="1"/>
    </xf>
    <xf numFmtId="0" fontId="0" fillId="27" borderId="0" xfId="0" applyNumberFormat="1" applyFill="1"/>
    <xf numFmtId="1" fontId="32" fillId="27" borderId="1" xfId="0" applyNumberFormat="1" applyFont="1" applyFill="1" applyBorder="1" applyAlignment="1">
      <alignment horizontal="right" vertical="center"/>
    </xf>
    <xf numFmtId="167" fontId="6" fillId="4" borderId="11" xfId="0" applyNumberFormat="1" applyFont="1" applyFill="1" applyBorder="1"/>
    <xf numFmtId="49" fontId="6" fillId="4" borderId="73" xfId="0" applyNumberFormat="1" applyFont="1" applyFill="1" applyBorder="1"/>
    <xf numFmtId="167" fontId="6" fillId="4" borderId="26" xfId="0" applyNumberFormat="1" applyFont="1" applyFill="1" applyBorder="1"/>
    <xf numFmtId="167" fontId="6" fillId="4" borderId="73" xfId="0" applyNumberFormat="1" applyFont="1" applyFill="1" applyBorder="1"/>
    <xf numFmtId="49" fontId="6" fillId="4" borderId="74" xfId="0" applyNumberFormat="1" applyFont="1" applyFill="1" applyBorder="1"/>
    <xf numFmtId="167" fontId="7" fillId="4" borderId="1" xfId="0" applyNumberFormat="1" applyFont="1" applyFill="1" applyBorder="1" applyAlignment="1">
      <alignment horizontal="right" vertical="center"/>
    </xf>
    <xf numFmtId="2" fontId="32" fillId="4" borderId="1" xfId="0" applyNumberFormat="1" applyFont="1" applyFill="1" applyBorder="1" applyAlignment="1">
      <alignment horizontal="right" vertical="center"/>
    </xf>
    <xf numFmtId="16" fontId="6" fillId="4" borderId="7" xfId="0" applyNumberFormat="1" applyFont="1" applyFill="1" applyBorder="1" applyAlignment="1">
      <alignment horizontal="center" wrapText="1"/>
    </xf>
    <xf numFmtId="16" fontId="6" fillId="27" borderId="7" xfId="0" applyNumberFormat="1" applyFont="1" applyFill="1" applyBorder="1" applyAlignment="1">
      <alignment horizontal="center" wrapText="1"/>
    </xf>
    <xf numFmtId="0" fontId="0" fillId="27" borderId="12" xfId="0" applyFill="1" applyBorder="1"/>
    <xf numFmtId="167" fontId="7" fillId="4" borderId="17" xfId="0" applyNumberFormat="1" applyFont="1" applyFill="1" applyBorder="1" applyAlignment="1">
      <alignment horizontal="right" vertical="center"/>
    </xf>
    <xf numFmtId="1" fontId="32" fillId="27" borderId="17" xfId="0" applyNumberFormat="1" applyFont="1" applyFill="1" applyBorder="1" applyAlignment="1">
      <alignment horizontal="right" vertical="center"/>
    </xf>
    <xf numFmtId="0" fontId="0" fillId="0" borderId="74" xfId="0" applyNumberFormat="1" applyBorder="1"/>
    <xf numFmtId="0" fontId="0" fillId="27" borderId="74" xfId="0" applyNumberFormat="1" applyFill="1" applyBorder="1"/>
    <xf numFmtId="0" fontId="32" fillId="4" borderId="1" xfId="0" applyNumberFormat="1" applyFont="1" applyFill="1" applyBorder="1" applyAlignment="1">
      <alignment horizontal="right" vertical="center"/>
    </xf>
    <xf numFmtId="171" fontId="7" fillId="4" borderId="1" xfId="1" applyNumberFormat="1" applyFont="1" applyFill="1" applyBorder="1" applyAlignment="1">
      <alignment horizontal="right" vertical="center"/>
    </xf>
    <xf numFmtId="0" fontId="32" fillId="4" borderId="1" xfId="0" applyNumberFormat="1" applyFont="1" applyFill="1" applyBorder="1" applyAlignment="1">
      <alignment horizontal="right"/>
    </xf>
    <xf numFmtId="17" fontId="6" fillId="4" borderId="16" xfId="0" applyNumberFormat="1" applyFont="1" applyFill="1" applyBorder="1" applyAlignment="1">
      <alignment horizontal="left" wrapText="1"/>
    </xf>
    <xf numFmtId="0" fontId="7" fillId="4" borderId="7" xfId="0" applyFont="1" applyFill="1" applyBorder="1"/>
    <xf numFmtId="44" fontId="7" fillId="4" borderId="11" xfId="2" applyFont="1" applyFill="1" applyBorder="1"/>
    <xf numFmtId="0" fontId="7" fillId="4" borderId="11" xfId="0" applyFont="1" applyFill="1" applyBorder="1"/>
    <xf numFmtId="49" fontId="0" fillId="29" borderId="45" xfId="0" applyNumberFormat="1" applyFill="1" applyBorder="1"/>
    <xf numFmtId="2" fontId="7" fillId="4" borderId="46" xfId="0" applyNumberFormat="1" applyFont="1" applyFill="1" applyBorder="1" applyAlignment="1">
      <alignment horizontal="right" readingOrder="1"/>
    </xf>
    <xf numFmtId="0" fontId="6" fillId="31" borderId="44" xfId="0" applyFont="1" applyFill="1" applyBorder="1" applyAlignment="1">
      <alignment vertical="top" wrapText="1"/>
    </xf>
    <xf numFmtId="49" fontId="27" fillId="31" borderId="45" xfId="0" applyNumberFormat="1" applyFont="1" applyFill="1" applyBorder="1"/>
    <xf numFmtId="168" fontId="7" fillId="31" borderId="46" xfId="0" applyNumberFormat="1" applyFont="1" applyFill="1" applyBorder="1" applyAlignment="1">
      <alignment horizontal="left"/>
    </xf>
    <xf numFmtId="167" fontId="0" fillId="31" borderId="46" xfId="0" applyNumberFormat="1" applyFill="1" applyBorder="1"/>
    <xf numFmtId="49" fontId="27" fillId="4" borderId="46" xfId="0" applyNumberFormat="1" applyFont="1" applyFill="1" applyBorder="1"/>
    <xf numFmtId="2" fontId="27" fillId="4" borderId="46" xfId="0" applyNumberFormat="1" applyFont="1" applyFill="1" applyBorder="1" applyAlignment="1">
      <alignment horizontal="right"/>
    </xf>
    <xf numFmtId="167" fontId="33" fillId="32" borderId="75" xfId="0" applyNumberFormat="1" applyFont="1" applyFill="1" applyBorder="1"/>
    <xf numFmtId="167" fontId="33" fillId="32" borderId="76" xfId="0" applyNumberFormat="1" applyFont="1" applyFill="1" applyBorder="1"/>
    <xf numFmtId="0" fontId="6" fillId="33" borderId="44" xfId="0" applyFont="1" applyFill="1" applyBorder="1" applyAlignment="1">
      <alignment vertical="top" wrapText="1"/>
    </xf>
    <xf numFmtId="49" fontId="27" fillId="33" borderId="45" xfId="0" applyNumberFormat="1" applyFont="1" applyFill="1" applyBorder="1"/>
    <xf numFmtId="168" fontId="0" fillId="33" borderId="46" xfId="0" applyNumberFormat="1" applyFill="1" applyBorder="1"/>
    <xf numFmtId="0" fontId="0" fillId="33" borderId="0" xfId="0" applyNumberFormat="1" applyFill="1"/>
    <xf numFmtId="167" fontId="0" fillId="33" borderId="46" xfId="0" applyNumberFormat="1" applyFill="1" applyBorder="1"/>
    <xf numFmtId="167" fontId="33" fillId="34" borderId="11" xfId="0" applyNumberFormat="1" applyFont="1" applyFill="1" applyBorder="1"/>
    <xf numFmtId="49" fontId="6" fillId="35" borderId="30" xfId="0" applyNumberFormat="1" applyFont="1" applyFill="1" applyBorder="1" applyAlignment="1">
      <alignment horizontal="center" wrapText="1"/>
    </xf>
    <xf numFmtId="167" fontId="6" fillId="4" borderId="78" xfId="0" applyNumberFormat="1" applyFont="1" applyFill="1" applyBorder="1" applyAlignment="1">
      <alignment horizontal="left"/>
    </xf>
    <xf numFmtId="164" fontId="7" fillId="4" borderId="12" xfId="0" applyNumberFormat="1" applyFont="1" applyFill="1" applyBorder="1" applyAlignment="1">
      <alignment wrapText="1"/>
    </xf>
    <xf numFmtId="165" fontId="6" fillId="4" borderId="38" xfId="0" applyNumberFormat="1" applyFont="1" applyFill="1" applyBorder="1" applyAlignment="1">
      <alignment horizontal="right" wrapText="1"/>
    </xf>
    <xf numFmtId="165" fontId="6" fillId="4" borderId="79" xfId="0" applyNumberFormat="1" applyFont="1" applyFill="1" applyBorder="1" applyAlignment="1">
      <alignment horizontal="right" wrapText="1"/>
    </xf>
    <xf numFmtId="165" fontId="6" fillId="4" borderId="15" xfId="0" applyNumberFormat="1" applyFont="1" applyFill="1" applyBorder="1" applyAlignment="1">
      <alignment horizontal="right" wrapText="1"/>
    </xf>
    <xf numFmtId="165" fontId="6" fillId="4" borderId="12" xfId="0" applyNumberFormat="1" applyFont="1" applyFill="1" applyBorder="1" applyAlignment="1">
      <alignment horizontal="right" wrapText="1"/>
    </xf>
    <xf numFmtId="164" fontId="7" fillId="4" borderId="80" xfId="0" applyNumberFormat="1" applyFont="1" applyFill="1" applyBorder="1" applyAlignment="1">
      <alignment wrapText="1"/>
    </xf>
    <xf numFmtId="167" fontId="6" fillId="4" borderId="77" xfId="0" applyNumberFormat="1" applyFont="1" applyFill="1" applyBorder="1" applyAlignment="1">
      <alignment horizontal="left" wrapText="1"/>
    </xf>
    <xf numFmtId="0" fontId="0" fillId="0" borderId="77" xfId="0" applyNumberFormat="1" applyBorder="1"/>
    <xf numFmtId="164" fontId="7" fillId="4" borderId="77" xfId="0" applyNumberFormat="1" applyFont="1" applyFill="1" applyBorder="1" applyAlignment="1">
      <alignment wrapText="1"/>
    </xf>
    <xf numFmtId="172" fontId="11" fillId="0" borderId="77" xfId="0" applyNumberFormat="1" applyFont="1" applyBorder="1" applyAlignment="1">
      <alignment horizontal="right" wrapText="1"/>
    </xf>
    <xf numFmtId="173" fontId="8" fillId="0" borderId="77" xfId="0" applyNumberFormat="1" applyFont="1" applyBorder="1" applyAlignment="1">
      <alignment horizontal="right" wrapText="1"/>
    </xf>
    <xf numFmtId="165" fontId="6" fillId="4" borderId="77" xfId="0" applyNumberFormat="1" applyFont="1" applyFill="1" applyBorder="1" applyAlignment="1">
      <alignment horizontal="right" wrapText="1"/>
    </xf>
    <xf numFmtId="167" fontId="6" fillId="11" borderId="77" xfId="0" applyNumberFormat="1" applyFont="1" applyFill="1" applyBorder="1" applyAlignment="1">
      <alignment horizontal="right" wrapText="1"/>
    </xf>
    <xf numFmtId="167" fontId="6" fillId="4" borderId="77" xfId="0" applyNumberFormat="1" applyFont="1" applyFill="1" applyBorder="1" applyAlignment="1">
      <alignment horizontal="right" wrapText="1"/>
    </xf>
    <xf numFmtId="167" fontId="6" fillId="4" borderId="77" xfId="0" applyNumberFormat="1" applyFont="1" applyFill="1" applyBorder="1" applyAlignment="1">
      <alignment horizontal="left"/>
    </xf>
    <xf numFmtId="172" fontId="11" fillId="0" borderId="77" xfId="0" applyNumberFormat="1" applyFont="1" applyBorder="1" applyAlignment="1">
      <alignment wrapText="1"/>
    </xf>
    <xf numFmtId="167" fontId="0" fillId="4" borderId="77" xfId="0" applyNumberFormat="1" applyFill="1" applyBorder="1" applyAlignment="1">
      <alignment wrapText="1"/>
    </xf>
    <xf numFmtId="172" fontId="0" fillId="0" borderId="77" xfId="0" applyNumberFormat="1" applyBorder="1"/>
    <xf numFmtId="167" fontId="7" fillId="4" borderId="77" xfId="0" applyNumberFormat="1" applyFont="1" applyFill="1" applyBorder="1" applyAlignment="1">
      <alignment horizontal="right" wrapText="1"/>
    </xf>
    <xf numFmtId="164" fontId="7" fillId="4" borderId="77" xfId="0" applyNumberFormat="1" applyFont="1" applyFill="1" applyBorder="1" applyAlignment="1">
      <alignment horizontal="right" wrapText="1"/>
    </xf>
    <xf numFmtId="167" fontId="6" fillId="11" borderId="77" xfId="0" applyNumberFormat="1" applyFont="1" applyFill="1" applyBorder="1" applyAlignment="1">
      <alignment horizontal="left" wrapText="1"/>
    </xf>
    <xf numFmtId="44" fontId="0" fillId="0" borderId="77" xfId="0" applyNumberFormat="1" applyBorder="1"/>
    <xf numFmtId="167" fontId="6" fillId="11" borderId="81" xfId="0" applyNumberFormat="1" applyFont="1" applyFill="1" applyBorder="1" applyAlignment="1">
      <alignment horizontal="right" wrapText="1"/>
    </xf>
    <xf numFmtId="0" fontId="0" fillId="0" borderId="0" xfId="0" applyAlignment="1">
      <alignment horizontal="left" wrapText="1"/>
    </xf>
    <xf numFmtId="0" fontId="0" fillId="0" borderId="0" xfId="0"/>
    <xf numFmtId="0" fontId="3" fillId="0" borderId="0" xfId="0" applyFont="1" applyAlignment="1">
      <alignment horizontal="center" vertical="center"/>
    </xf>
    <xf numFmtId="0" fontId="0" fillId="0" borderId="0" xfId="0" applyNumberFormat="1" applyFont="1"/>
    <xf numFmtId="44" fontId="0" fillId="4" borderId="12" xfId="0" applyNumberFormat="1" applyFill="1" applyBorder="1"/>
  </cellXfs>
  <cellStyles count="3">
    <cellStyle name="Comma" xfId="1" builtinId="3"/>
    <cellStyle name="Currency" xfId="2" builtinId="4"/>
    <cellStyle name="Normal" xfId="0" builtinId="0"/>
  </cellStyles>
  <dxfs count="0"/>
  <tableStyles count="0"/>
  <colors>
    <indexedColors>
      <rgbColor rgb="FF000000"/>
      <rgbColor rgb="FFFFFFFF"/>
      <rgbColor rgb="FFFF0000"/>
      <rgbColor rgb="FF00FF00"/>
      <rgbColor rgb="FF0000FF"/>
      <rgbColor rgb="FFFFFF00"/>
      <rgbColor rgb="FFFF00FF"/>
      <rgbColor rgb="FF00FFFF"/>
      <rgbColor rgb="FF000000"/>
      <rgbColor rgb="FF5E88B1"/>
      <rgbColor rgb="FFEEF3F4"/>
      <rgbColor rgb="FF0000FF"/>
      <rgbColor rgb="FFFFFFFF"/>
      <rgbColor rgb="FFAAAAAA"/>
      <rgbColor rgb="FF66FFFF"/>
      <rgbColor rgb="FF99FFCC"/>
      <rgbColor rgb="FFC00000"/>
      <rgbColor rgb="FFFFCCCC"/>
      <rgbColor rgb="FFCCFFFF"/>
      <rgbColor rgb="FF99FF33"/>
      <rgbColor rgb="FFED7D31"/>
      <rgbColor rgb="FFCCCCFF"/>
      <rgbColor rgb="FFFFC000"/>
      <rgbColor rgb="FF92D050"/>
      <rgbColor rgb="FFCCFF66"/>
      <rgbColor rgb="FFBFBFBF"/>
      <rgbColor rgb="FFDADADA"/>
      <rgbColor rgb="FFC5DEB5"/>
      <rgbColor rgb="FF3F3F3F"/>
      <rgbColor rgb="FFA5A5A5"/>
      <rgbColor rgb="FFFFCF3F"/>
      <rgbColor rgb="FFBDC0BF"/>
      <rgbColor rgb="FFA5A5A5"/>
      <rgbColor rgb="FF3F3F3F"/>
      <rgbColor rgb="FF93C175"/>
      <rgbColor rgb="FFDBDBDB"/>
      <rgbColor rgb="FFFFDF7F"/>
      <rgbColor rgb="FFD2D2D2"/>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FDCF3F"/>
      <color rgb="FF99FF33"/>
      <color rgb="FF808080"/>
      <color rgb="FF66FFFF"/>
      <color rgb="FF006600"/>
      <color rgb="FF008000"/>
      <color rgb="FFCCCCFF"/>
      <color rgb="FF99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eetMetadata" Target="metadata.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2.xml.rels><?xml version="1.0" encoding="UTF-8" standalone="yes"?>
<Relationships xmlns="http://schemas.openxmlformats.org/package/2006/relationships"><Relationship Id="rId8" Type="http://schemas.openxmlformats.org/officeDocument/2006/relationships/image" Target="../media/image8.png"/><Relationship Id="rId3" Type="http://schemas.openxmlformats.org/officeDocument/2006/relationships/image" Target="../media/image3.png"/><Relationship Id="rId7" Type="http://schemas.openxmlformats.org/officeDocument/2006/relationships/image" Target="../media/image7.png"/><Relationship Id="rId2" Type="http://schemas.openxmlformats.org/officeDocument/2006/relationships/image" Target="../media/image2.png"/><Relationship Id="rId1" Type="http://schemas.openxmlformats.org/officeDocument/2006/relationships/image" Target="../media/image1.png"/><Relationship Id="rId6" Type="http://schemas.openxmlformats.org/officeDocument/2006/relationships/image" Target="../media/image6.png"/><Relationship Id="rId11" Type="http://schemas.openxmlformats.org/officeDocument/2006/relationships/image" Target="../media/image11.png"/><Relationship Id="rId5" Type="http://schemas.openxmlformats.org/officeDocument/2006/relationships/image" Target="../media/image5.png"/><Relationship Id="rId10" Type="http://schemas.openxmlformats.org/officeDocument/2006/relationships/image" Target="../media/image10.png"/><Relationship Id="rId4" Type="http://schemas.openxmlformats.org/officeDocument/2006/relationships/image" Target="../media/image4.png"/><Relationship Id="rId9" Type="http://schemas.openxmlformats.org/officeDocument/2006/relationships/image" Target="../media/image9.png"/></Relationships>
</file>

<file path=xl/drawings/drawing1.xml><?xml version="1.0" encoding="utf-8"?>
<xdr:wsDr xmlns:xdr="http://schemas.openxmlformats.org/drawingml/2006/spreadsheetDrawing" xmlns:a="http://schemas.openxmlformats.org/drawingml/2006/main">
  <xdr:twoCellAnchor>
    <xdr:from>
      <xdr:col>1</xdr:col>
      <xdr:colOff>39279</xdr:colOff>
      <xdr:row>167</xdr:row>
      <xdr:rowOff>4712</xdr:rowOff>
    </xdr:from>
    <xdr:to>
      <xdr:col>1</xdr:col>
      <xdr:colOff>294589</xdr:colOff>
      <xdr:row>173</xdr:row>
      <xdr:rowOff>29457</xdr:rowOff>
    </xdr:to>
    <xdr:sp macro="" textlink="">
      <xdr:nvSpPr>
        <xdr:cNvPr id="3" name="Right Brace 1">
          <a:extLst>
            <a:ext uri="{FF2B5EF4-FFF2-40B4-BE49-F238E27FC236}">
              <a16:creationId xmlns:a16="http://schemas.microsoft.com/office/drawing/2014/main" id="{00000000-0008-0000-0400-000003000000}"/>
            </a:ext>
          </a:extLst>
        </xdr:cNvPr>
        <xdr:cNvSpPr/>
      </xdr:nvSpPr>
      <xdr:spPr>
        <a:xfrm>
          <a:off x="1461679" y="25226912"/>
          <a:ext cx="255311" cy="939146"/>
        </a:xfrm>
        <a:custGeom>
          <a:avLst/>
          <a:gdLst/>
          <a:ahLst/>
          <a:cxnLst>
            <a:cxn ang="0">
              <a:pos x="wd2" y="hd2"/>
            </a:cxn>
            <a:cxn ang="5400000">
              <a:pos x="wd2" y="hd2"/>
            </a:cxn>
            <a:cxn ang="10800000">
              <a:pos x="wd2" y="hd2"/>
            </a:cxn>
            <a:cxn ang="16200000">
              <a:pos x="wd2" y="hd2"/>
            </a:cxn>
          </a:cxnLst>
          <a:rect l="0" t="0" r="r" b="b"/>
          <a:pathLst>
            <a:path w="21600" h="21600" extrusionOk="0">
              <a:moveTo>
                <a:pt x="0" y="0"/>
              </a:moveTo>
              <a:cubicBezTo>
                <a:pt x="5965" y="0"/>
                <a:pt x="10800" y="219"/>
                <a:pt x="10800" y="489"/>
              </a:cubicBezTo>
              <a:lnTo>
                <a:pt x="10800" y="10311"/>
              </a:lnTo>
              <a:cubicBezTo>
                <a:pt x="10800" y="10581"/>
                <a:pt x="15635" y="10800"/>
                <a:pt x="21600" y="10800"/>
              </a:cubicBezTo>
              <a:cubicBezTo>
                <a:pt x="15635" y="10800"/>
                <a:pt x="10800" y="11019"/>
                <a:pt x="10800" y="11289"/>
              </a:cubicBezTo>
              <a:lnTo>
                <a:pt x="10800" y="21111"/>
              </a:lnTo>
              <a:cubicBezTo>
                <a:pt x="10800" y="21381"/>
                <a:pt x="5965" y="21600"/>
                <a:pt x="0" y="21600"/>
              </a:cubicBezTo>
            </a:path>
          </a:pathLst>
        </a:custGeom>
        <a:noFill/>
        <a:ln w="6350" cap="flat">
          <a:solidFill>
            <a:schemeClr val="accent1"/>
          </a:solidFill>
          <a:prstDash val="solid"/>
          <a:miter lim="800000"/>
        </a:ln>
        <a:effectLst/>
      </xdr:spPr>
      <xdr:txBody>
        <a:bodyPr/>
        <a:lstStyle/>
        <a:p>
          <a:endParaRPr/>
        </a:p>
      </xdr:txBody>
    </xdr:sp>
    <xdr:clientData/>
  </xdr:twoCellAnchor>
  <xdr:twoCellAnchor>
    <xdr:from>
      <xdr:col>1</xdr:col>
      <xdr:colOff>63500</xdr:colOff>
      <xdr:row>211</xdr:row>
      <xdr:rowOff>106313</xdr:rowOff>
    </xdr:from>
    <xdr:to>
      <xdr:col>1</xdr:col>
      <xdr:colOff>281889</xdr:colOff>
      <xdr:row>216</xdr:row>
      <xdr:rowOff>101600</xdr:rowOff>
    </xdr:to>
    <xdr:sp macro="" textlink="">
      <xdr:nvSpPr>
        <xdr:cNvPr id="2" name="Right Brace 1">
          <a:extLst>
            <a:ext uri="{FF2B5EF4-FFF2-40B4-BE49-F238E27FC236}">
              <a16:creationId xmlns:a16="http://schemas.microsoft.com/office/drawing/2014/main" id="{8C051B23-BEAF-4444-902C-584F974106AB}"/>
            </a:ext>
          </a:extLst>
        </xdr:cNvPr>
        <xdr:cNvSpPr/>
      </xdr:nvSpPr>
      <xdr:spPr>
        <a:xfrm>
          <a:off x="1485900" y="32948513"/>
          <a:ext cx="218389" cy="1011287"/>
        </a:xfrm>
        <a:custGeom>
          <a:avLst/>
          <a:gdLst/>
          <a:ahLst/>
          <a:cxnLst>
            <a:cxn ang="0">
              <a:pos x="wd2" y="hd2"/>
            </a:cxn>
            <a:cxn ang="5400000">
              <a:pos x="wd2" y="hd2"/>
            </a:cxn>
            <a:cxn ang="10800000">
              <a:pos x="wd2" y="hd2"/>
            </a:cxn>
            <a:cxn ang="16200000">
              <a:pos x="wd2" y="hd2"/>
            </a:cxn>
          </a:cxnLst>
          <a:rect l="0" t="0" r="r" b="b"/>
          <a:pathLst>
            <a:path w="21600" h="21600" extrusionOk="0">
              <a:moveTo>
                <a:pt x="0" y="0"/>
              </a:moveTo>
              <a:cubicBezTo>
                <a:pt x="5965" y="0"/>
                <a:pt x="10800" y="219"/>
                <a:pt x="10800" y="489"/>
              </a:cubicBezTo>
              <a:lnTo>
                <a:pt x="10800" y="10311"/>
              </a:lnTo>
              <a:cubicBezTo>
                <a:pt x="10800" y="10581"/>
                <a:pt x="15635" y="10800"/>
                <a:pt x="21600" y="10800"/>
              </a:cubicBezTo>
              <a:cubicBezTo>
                <a:pt x="15635" y="10800"/>
                <a:pt x="10800" y="11019"/>
                <a:pt x="10800" y="11289"/>
              </a:cubicBezTo>
              <a:lnTo>
                <a:pt x="10800" y="21111"/>
              </a:lnTo>
              <a:cubicBezTo>
                <a:pt x="10800" y="21381"/>
                <a:pt x="5965" y="21600"/>
                <a:pt x="0" y="21600"/>
              </a:cubicBezTo>
            </a:path>
          </a:pathLst>
        </a:custGeom>
        <a:noFill/>
        <a:ln w="6350" cap="flat">
          <a:solidFill>
            <a:schemeClr val="accent1"/>
          </a:solidFill>
          <a:prstDash val="solid"/>
          <a:miter lim="800000"/>
        </a:ln>
        <a:effectLst/>
      </xdr:spPr>
      <xdr:txBody>
        <a:bodyPr/>
        <a:lstStyle/>
        <a:p>
          <a:endParaRPr/>
        </a:p>
      </xdr:txBody>
    </xdr:sp>
    <xdr:clientData/>
  </xdr:twoCellAnchor>
  <xdr:twoCellAnchor>
    <xdr:from>
      <xdr:col>1</xdr:col>
      <xdr:colOff>63501</xdr:colOff>
      <xdr:row>224</xdr:row>
      <xdr:rowOff>38099</xdr:rowOff>
    </xdr:from>
    <xdr:to>
      <xdr:col>1</xdr:col>
      <xdr:colOff>177801</xdr:colOff>
      <xdr:row>224</xdr:row>
      <xdr:rowOff>177800</xdr:rowOff>
    </xdr:to>
    <xdr:sp macro="" textlink="">
      <xdr:nvSpPr>
        <xdr:cNvPr id="5" name="Right Brace 1">
          <a:extLst>
            <a:ext uri="{FF2B5EF4-FFF2-40B4-BE49-F238E27FC236}">
              <a16:creationId xmlns:a16="http://schemas.microsoft.com/office/drawing/2014/main" id="{AB95531D-4DF2-E44C-B565-4D54FC8C4A97}"/>
            </a:ext>
          </a:extLst>
        </xdr:cNvPr>
        <xdr:cNvSpPr/>
      </xdr:nvSpPr>
      <xdr:spPr>
        <a:xfrm>
          <a:off x="1485901" y="42405299"/>
          <a:ext cx="114300" cy="139701"/>
        </a:xfrm>
        <a:custGeom>
          <a:avLst/>
          <a:gdLst/>
          <a:ahLst/>
          <a:cxnLst>
            <a:cxn ang="0">
              <a:pos x="wd2" y="hd2"/>
            </a:cxn>
            <a:cxn ang="5400000">
              <a:pos x="wd2" y="hd2"/>
            </a:cxn>
            <a:cxn ang="10800000">
              <a:pos x="wd2" y="hd2"/>
            </a:cxn>
            <a:cxn ang="16200000">
              <a:pos x="wd2" y="hd2"/>
            </a:cxn>
          </a:cxnLst>
          <a:rect l="0" t="0" r="r" b="b"/>
          <a:pathLst>
            <a:path w="21600" h="21600" extrusionOk="0">
              <a:moveTo>
                <a:pt x="0" y="0"/>
              </a:moveTo>
              <a:cubicBezTo>
                <a:pt x="5965" y="0"/>
                <a:pt x="10800" y="219"/>
                <a:pt x="10800" y="489"/>
              </a:cubicBezTo>
              <a:lnTo>
                <a:pt x="10800" y="10311"/>
              </a:lnTo>
              <a:cubicBezTo>
                <a:pt x="10800" y="10581"/>
                <a:pt x="15635" y="10800"/>
                <a:pt x="21600" y="10800"/>
              </a:cubicBezTo>
              <a:cubicBezTo>
                <a:pt x="15635" y="10800"/>
                <a:pt x="10800" y="11019"/>
                <a:pt x="10800" y="11289"/>
              </a:cubicBezTo>
              <a:lnTo>
                <a:pt x="10800" y="21111"/>
              </a:lnTo>
              <a:cubicBezTo>
                <a:pt x="10800" y="21381"/>
                <a:pt x="5965" y="21600"/>
                <a:pt x="0" y="21600"/>
              </a:cubicBezTo>
            </a:path>
          </a:pathLst>
        </a:custGeom>
        <a:noFill/>
        <a:ln w="6350" cap="flat">
          <a:solidFill>
            <a:schemeClr val="accent1"/>
          </a:solidFill>
          <a:prstDash val="solid"/>
          <a:miter lim="800000"/>
        </a:ln>
        <a:effectLst/>
      </xdr:spPr>
      <xdr:txBody>
        <a:bodyPr/>
        <a:lstStyle/>
        <a:p>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57150</xdr:colOff>
      <xdr:row>7</xdr:row>
      <xdr:rowOff>85725</xdr:rowOff>
    </xdr:from>
    <xdr:to>
      <xdr:col>5</xdr:col>
      <xdr:colOff>494901</xdr:colOff>
      <xdr:row>14</xdr:row>
      <xdr:rowOff>37938</xdr:rowOff>
    </xdr:to>
    <xdr:pic>
      <xdr:nvPicPr>
        <xdr:cNvPr id="5" name="Picture 2" descr="Picture 2">
          <a:extLst>
            <a:ext uri="{FF2B5EF4-FFF2-40B4-BE49-F238E27FC236}">
              <a16:creationId xmlns:a16="http://schemas.microsoft.com/office/drawing/2014/main" id="{00000000-0008-0000-0500-000005000000}"/>
            </a:ext>
          </a:extLst>
        </xdr:cNvPr>
        <xdr:cNvPicPr>
          <a:picLocks noChangeAspect="1"/>
        </xdr:cNvPicPr>
      </xdr:nvPicPr>
      <xdr:blipFill>
        <a:blip xmlns:r="http://schemas.openxmlformats.org/officeDocument/2006/relationships" r:embed="rId1"/>
        <a:stretch>
          <a:fillRect/>
        </a:stretch>
      </xdr:blipFill>
      <xdr:spPr>
        <a:xfrm>
          <a:off x="273050" y="1419225"/>
          <a:ext cx="3180952" cy="1285714"/>
        </a:xfrm>
        <a:prstGeom prst="rect">
          <a:avLst/>
        </a:prstGeom>
        <a:ln w="12700" cap="flat">
          <a:noFill/>
          <a:miter lim="400000"/>
        </a:ln>
        <a:effectLst>
          <a:outerShdw blurRad="63500" rotWithShape="0">
            <a:srgbClr val="000000">
              <a:alpha val="40000"/>
            </a:srgbClr>
          </a:outerShdw>
        </a:effectLst>
      </xdr:spPr>
    </xdr:pic>
    <xdr:clientData/>
  </xdr:twoCellAnchor>
  <xdr:twoCellAnchor>
    <xdr:from>
      <xdr:col>1</xdr:col>
      <xdr:colOff>66675</xdr:colOff>
      <xdr:row>16</xdr:row>
      <xdr:rowOff>95250</xdr:rowOff>
    </xdr:from>
    <xdr:to>
      <xdr:col>8</xdr:col>
      <xdr:colOff>132741</xdr:colOff>
      <xdr:row>21</xdr:row>
      <xdr:rowOff>152274</xdr:rowOff>
    </xdr:to>
    <xdr:pic>
      <xdr:nvPicPr>
        <xdr:cNvPr id="6" name="Picture 4" descr="Picture 4">
          <a:extLst>
            <a:ext uri="{FF2B5EF4-FFF2-40B4-BE49-F238E27FC236}">
              <a16:creationId xmlns:a16="http://schemas.microsoft.com/office/drawing/2014/main" id="{00000000-0008-0000-0500-000006000000}"/>
            </a:ext>
          </a:extLst>
        </xdr:cNvPr>
        <xdr:cNvPicPr>
          <a:picLocks noChangeAspect="1"/>
        </xdr:cNvPicPr>
      </xdr:nvPicPr>
      <xdr:blipFill>
        <a:blip xmlns:r="http://schemas.openxmlformats.org/officeDocument/2006/relationships" r:embed="rId2"/>
        <a:stretch>
          <a:fillRect/>
        </a:stretch>
      </xdr:blipFill>
      <xdr:spPr>
        <a:xfrm>
          <a:off x="282575" y="3143250"/>
          <a:ext cx="4866667" cy="1009525"/>
        </a:xfrm>
        <a:prstGeom prst="rect">
          <a:avLst/>
        </a:prstGeom>
        <a:ln w="12700" cap="flat">
          <a:noFill/>
          <a:miter lim="400000"/>
        </a:ln>
        <a:effectLst>
          <a:outerShdw blurRad="63500" rotWithShape="0">
            <a:srgbClr val="000000">
              <a:alpha val="40000"/>
            </a:srgbClr>
          </a:outerShdw>
        </a:effectLst>
      </xdr:spPr>
    </xdr:pic>
    <xdr:clientData/>
  </xdr:twoCellAnchor>
  <xdr:twoCellAnchor>
    <xdr:from>
      <xdr:col>1</xdr:col>
      <xdr:colOff>47625</xdr:colOff>
      <xdr:row>24</xdr:row>
      <xdr:rowOff>66675</xdr:rowOff>
    </xdr:from>
    <xdr:to>
      <xdr:col>10</xdr:col>
      <xdr:colOff>265900</xdr:colOff>
      <xdr:row>26</xdr:row>
      <xdr:rowOff>95198</xdr:rowOff>
    </xdr:to>
    <xdr:pic>
      <xdr:nvPicPr>
        <xdr:cNvPr id="7" name="Picture 5" descr="Picture 5">
          <a:extLst>
            <a:ext uri="{FF2B5EF4-FFF2-40B4-BE49-F238E27FC236}">
              <a16:creationId xmlns:a16="http://schemas.microsoft.com/office/drawing/2014/main" id="{00000000-0008-0000-0500-000007000000}"/>
            </a:ext>
          </a:extLst>
        </xdr:cNvPr>
        <xdr:cNvPicPr>
          <a:picLocks noChangeAspect="1"/>
        </xdr:cNvPicPr>
      </xdr:nvPicPr>
      <xdr:blipFill>
        <a:blip xmlns:r="http://schemas.openxmlformats.org/officeDocument/2006/relationships" r:embed="rId3"/>
        <a:stretch>
          <a:fillRect/>
        </a:stretch>
      </xdr:blipFill>
      <xdr:spPr>
        <a:xfrm>
          <a:off x="263525" y="4638675"/>
          <a:ext cx="6390476" cy="409524"/>
        </a:xfrm>
        <a:prstGeom prst="rect">
          <a:avLst/>
        </a:prstGeom>
        <a:ln w="12700" cap="flat">
          <a:noFill/>
          <a:miter lim="400000"/>
        </a:ln>
        <a:effectLst>
          <a:outerShdw blurRad="63500" rotWithShape="0">
            <a:srgbClr val="000000">
              <a:alpha val="40000"/>
            </a:srgbClr>
          </a:outerShdw>
        </a:effectLst>
      </xdr:spPr>
    </xdr:pic>
    <xdr:clientData/>
  </xdr:twoCellAnchor>
  <xdr:twoCellAnchor>
    <xdr:from>
      <xdr:col>1</xdr:col>
      <xdr:colOff>28575</xdr:colOff>
      <xdr:row>31</xdr:row>
      <xdr:rowOff>85725</xdr:rowOff>
    </xdr:from>
    <xdr:to>
      <xdr:col>10</xdr:col>
      <xdr:colOff>265899</xdr:colOff>
      <xdr:row>37</xdr:row>
      <xdr:rowOff>190344</xdr:rowOff>
    </xdr:to>
    <xdr:pic>
      <xdr:nvPicPr>
        <xdr:cNvPr id="8" name="Picture 6" descr="Picture 6">
          <a:extLst>
            <a:ext uri="{FF2B5EF4-FFF2-40B4-BE49-F238E27FC236}">
              <a16:creationId xmlns:a16="http://schemas.microsoft.com/office/drawing/2014/main" id="{00000000-0008-0000-0500-000008000000}"/>
            </a:ext>
          </a:extLst>
        </xdr:cNvPr>
        <xdr:cNvPicPr>
          <a:picLocks noChangeAspect="1"/>
        </xdr:cNvPicPr>
      </xdr:nvPicPr>
      <xdr:blipFill>
        <a:blip xmlns:r="http://schemas.openxmlformats.org/officeDocument/2006/relationships" r:embed="rId4"/>
        <a:stretch>
          <a:fillRect/>
        </a:stretch>
      </xdr:blipFill>
      <xdr:spPr>
        <a:xfrm>
          <a:off x="244475" y="5991225"/>
          <a:ext cx="6409525" cy="1247620"/>
        </a:xfrm>
        <a:prstGeom prst="rect">
          <a:avLst/>
        </a:prstGeom>
        <a:ln w="12700" cap="flat">
          <a:noFill/>
          <a:miter lim="400000"/>
        </a:ln>
        <a:effectLst>
          <a:outerShdw blurRad="63500" rotWithShape="0">
            <a:srgbClr val="000000">
              <a:alpha val="40000"/>
            </a:srgbClr>
          </a:outerShdw>
        </a:effectLst>
      </xdr:spPr>
    </xdr:pic>
    <xdr:clientData/>
  </xdr:twoCellAnchor>
  <xdr:twoCellAnchor>
    <xdr:from>
      <xdr:col>1</xdr:col>
      <xdr:colOff>38100</xdr:colOff>
      <xdr:row>44</xdr:row>
      <xdr:rowOff>161925</xdr:rowOff>
    </xdr:from>
    <xdr:to>
      <xdr:col>5</xdr:col>
      <xdr:colOff>190138</xdr:colOff>
      <xdr:row>48</xdr:row>
      <xdr:rowOff>123735</xdr:rowOff>
    </xdr:to>
    <xdr:pic>
      <xdr:nvPicPr>
        <xdr:cNvPr id="9" name="Picture 9" descr="Picture 9">
          <a:extLst>
            <a:ext uri="{FF2B5EF4-FFF2-40B4-BE49-F238E27FC236}">
              <a16:creationId xmlns:a16="http://schemas.microsoft.com/office/drawing/2014/main" id="{00000000-0008-0000-0500-000009000000}"/>
            </a:ext>
          </a:extLst>
        </xdr:cNvPr>
        <xdr:cNvPicPr>
          <a:picLocks noChangeAspect="1"/>
        </xdr:cNvPicPr>
      </xdr:nvPicPr>
      <xdr:blipFill>
        <a:blip xmlns:r="http://schemas.openxmlformats.org/officeDocument/2006/relationships" r:embed="rId5"/>
        <a:stretch>
          <a:fillRect/>
        </a:stretch>
      </xdr:blipFill>
      <xdr:spPr>
        <a:xfrm>
          <a:off x="254000" y="8543925"/>
          <a:ext cx="2895239" cy="723811"/>
        </a:xfrm>
        <a:prstGeom prst="rect">
          <a:avLst/>
        </a:prstGeom>
        <a:ln w="12700" cap="flat">
          <a:noFill/>
          <a:miter lim="400000"/>
        </a:ln>
        <a:effectLst>
          <a:outerShdw blurRad="63500" rotWithShape="0">
            <a:srgbClr val="000000">
              <a:alpha val="40000"/>
            </a:srgbClr>
          </a:outerShdw>
        </a:effectLst>
      </xdr:spPr>
    </xdr:pic>
    <xdr:clientData/>
  </xdr:twoCellAnchor>
  <xdr:twoCellAnchor>
    <xdr:from>
      <xdr:col>1</xdr:col>
      <xdr:colOff>38100</xdr:colOff>
      <xdr:row>40</xdr:row>
      <xdr:rowOff>85725</xdr:rowOff>
    </xdr:from>
    <xdr:to>
      <xdr:col>11</xdr:col>
      <xdr:colOff>589623</xdr:colOff>
      <xdr:row>44</xdr:row>
      <xdr:rowOff>95153</xdr:rowOff>
    </xdr:to>
    <xdr:pic>
      <xdr:nvPicPr>
        <xdr:cNvPr id="10" name="Picture 10" descr="Picture 10">
          <a:extLst>
            <a:ext uri="{FF2B5EF4-FFF2-40B4-BE49-F238E27FC236}">
              <a16:creationId xmlns:a16="http://schemas.microsoft.com/office/drawing/2014/main" id="{00000000-0008-0000-0500-00000A000000}"/>
            </a:ext>
          </a:extLst>
        </xdr:cNvPr>
        <xdr:cNvPicPr>
          <a:picLocks noChangeAspect="1"/>
        </xdr:cNvPicPr>
      </xdr:nvPicPr>
      <xdr:blipFill>
        <a:blip xmlns:r="http://schemas.openxmlformats.org/officeDocument/2006/relationships" r:embed="rId6"/>
        <a:stretch>
          <a:fillRect/>
        </a:stretch>
      </xdr:blipFill>
      <xdr:spPr>
        <a:xfrm>
          <a:off x="254000" y="7705725"/>
          <a:ext cx="7409524" cy="771429"/>
        </a:xfrm>
        <a:prstGeom prst="rect">
          <a:avLst/>
        </a:prstGeom>
        <a:ln w="12700" cap="flat">
          <a:noFill/>
          <a:miter lim="400000"/>
        </a:ln>
        <a:effectLst>
          <a:outerShdw blurRad="63500" rotWithShape="0">
            <a:srgbClr val="000000">
              <a:alpha val="40000"/>
            </a:srgbClr>
          </a:outerShdw>
        </a:effectLst>
      </xdr:spPr>
    </xdr:pic>
    <xdr:clientData/>
  </xdr:twoCellAnchor>
  <xdr:twoCellAnchor>
    <xdr:from>
      <xdr:col>1</xdr:col>
      <xdr:colOff>57150</xdr:colOff>
      <xdr:row>55</xdr:row>
      <xdr:rowOff>85725</xdr:rowOff>
    </xdr:from>
    <xdr:to>
      <xdr:col>10</xdr:col>
      <xdr:colOff>646855</xdr:colOff>
      <xdr:row>65</xdr:row>
      <xdr:rowOff>75962</xdr:rowOff>
    </xdr:to>
    <xdr:pic>
      <xdr:nvPicPr>
        <xdr:cNvPr id="11" name="Picture 14" descr="Picture 14">
          <a:extLst>
            <a:ext uri="{FF2B5EF4-FFF2-40B4-BE49-F238E27FC236}">
              <a16:creationId xmlns:a16="http://schemas.microsoft.com/office/drawing/2014/main" id="{00000000-0008-0000-0500-00000B000000}"/>
            </a:ext>
          </a:extLst>
        </xdr:cNvPr>
        <xdr:cNvPicPr>
          <a:picLocks noChangeAspect="1"/>
        </xdr:cNvPicPr>
      </xdr:nvPicPr>
      <xdr:blipFill>
        <a:blip xmlns:r="http://schemas.openxmlformats.org/officeDocument/2006/relationships" r:embed="rId7"/>
        <a:stretch>
          <a:fillRect/>
        </a:stretch>
      </xdr:blipFill>
      <xdr:spPr>
        <a:xfrm>
          <a:off x="273050" y="10563225"/>
          <a:ext cx="6761906" cy="1895238"/>
        </a:xfrm>
        <a:prstGeom prst="rect">
          <a:avLst/>
        </a:prstGeom>
        <a:ln w="12700" cap="flat">
          <a:noFill/>
          <a:miter lim="400000"/>
        </a:ln>
        <a:effectLst>
          <a:outerShdw blurRad="63500" rotWithShape="0">
            <a:srgbClr val="000000">
              <a:alpha val="40000"/>
            </a:srgbClr>
          </a:outerShdw>
        </a:effectLst>
      </xdr:spPr>
    </xdr:pic>
    <xdr:clientData/>
  </xdr:twoCellAnchor>
  <xdr:twoCellAnchor>
    <xdr:from>
      <xdr:col>1</xdr:col>
      <xdr:colOff>76200</xdr:colOff>
      <xdr:row>70</xdr:row>
      <xdr:rowOff>66675</xdr:rowOff>
    </xdr:from>
    <xdr:to>
      <xdr:col>7</xdr:col>
      <xdr:colOff>9018</xdr:colOff>
      <xdr:row>76</xdr:row>
      <xdr:rowOff>85579</xdr:rowOff>
    </xdr:to>
    <xdr:pic>
      <xdr:nvPicPr>
        <xdr:cNvPr id="12" name="Picture 15" descr="Picture 15">
          <a:extLst>
            <a:ext uri="{FF2B5EF4-FFF2-40B4-BE49-F238E27FC236}">
              <a16:creationId xmlns:a16="http://schemas.microsoft.com/office/drawing/2014/main" id="{00000000-0008-0000-0500-00000C000000}"/>
            </a:ext>
          </a:extLst>
        </xdr:cNvPr>
        <xdr:cNvPicPr>
          <a:picLocks noChangeAspect="1"/>
        </xdr:cNvPicPr>
      </xdr:nvPicPr>
      <xdr:blipFill>
        <a:blip xmlns:r="http://schemas.openxmlformats.org/officeDocument/2006/relationships" r:embed="rId8"/>
        <a:stretch>
          <a:fillRect/>
        </a:stretch>
      </xdr:blipFill>
      <xdr:spPr>
        <a:xfrm>
          <a:off x="292100" y="13401675"/>
          <a:ext cx="4047619" cy="1161905"/>
        </a:xfrm>
        <a:prstGeom prst="rect">
          <a:avLst/>
        </a:prstGeom>
        <a:ln w="12700" cap="flat">
          <a:noFill/>
          <a:miter lim="400000"/>
        </a:ln>
        <a:effectLst>
          <a:outerShdw blurRad="63500" rotWithShape="0">
            <a:srgbClr val="000000">
              <a:alpha val="40000"/>
            </a:srgbClr>
          </a:outerShdw>
        </a:effectLst>
      </xdr:spPr>
    </xdr:pic>
    <xdr:clientData/>
  </xdr:twoCellAnchor>
  <xdr:twoCellAnchor>
    <xdr:from>
      <xdr:col>1</xdr:col>
      <xdr:colOff>66675</xdr:colOff>
      <xdr:row>81</xdr:row>
      <xdr:rowOff>123825</xdr:rowOff>
    </xdr:from>
    <xdr:to>
      <xdr:col>8</xdr:col>
      <xdr:colOff>142264</xdr:colOff>
      <xdr:row>87</xdr:row>
      <xdr:rowOff>28444</xdr:rowOff>
    </xdr:to>
    <xdr:pic>
      <xdr:nvPicPr>
        <xdr:cNvPr id="13" name="Picture 16" descr="Picture 16">
          <a:extLst>
            <a:ext uri="{FF2B5EF4-FFF2-40B4-BE49-F238E27FC236}">
              <a16:creationId xmlns:a16="http://schemas.microsoft.com/office/drawing/2014/main" id="{00000000-0008-0000-0500-00000D000000}"/>
            </a:ext>
          </a:extLst>
        </xdr:cNvPr>
        <xdr:cNvPicPr>
          <a:picLocks noChangeAspect="1"/>
        </xdr:cNvPicPr>
      </xdr:nvPicPr>
      <xdr:blipFill>
        <a:blip xmlns:r="http://schemas.openxmlformats.org/officeDocument/2006/relationships" r:embed="rId9"/>
        <a:stretch>
          <a:fillRect/>
        </a:stretch>
      </xdr:blipFill>
      <xdr:spPr>
        <a:xfrm>
          <a:off x="282575" y="15554325"/>
          <a:ext cx="4876190" cy="1047620"/>
        </a:xfrm>
        <a:prstGeom prst="rect">
          <a:avLst/>
        </a:prstGeom>
        <a:ln w="12700" cap="flat">
          <a:noFill/>
          <a:miter lim="400000"/>
        </a:ln>
        <a:effectLst>
          <a:outerShdw blurRad="63500" rotWithShape="0">
            <a:srgbClr val="000000">
              <a:alpha val="40000"/>
            </a:srgbClr>
          </a:outerShdw>
        </a:effectLst>
      </xdr:spPr>
    </xdr:pic>
    <xdr:clientData/>
  </xdr:twoCellAnchor>
  <xdr:twoCellAnchor>
    <xdr:from>
      <xdr:col>1</xdr:col>
      <xdr:colOff>47625</xdr:colOff>
      <xdr:row>89</xdr:row>
      <xdr:rowOff>76200</xdr:rowOff>
    </xdr:from>
    <xdr:to>
      <xdr:col>9</xdr:col>
      <xdr:colOff>475510</xdr:colOff>
      <xdr:row>96</xdr:row>
      <xdr:rowOff>161748</xdr:rowOff>
    </xdr:to>
    <xdr:pic>
      <xdr:nvPicPr>
        <xdr:cNvPr id="14" name="Picture 18" descr="Picture 18">
          <a:extLst>
            <a:ext uri="{FF2B5EF4-FFF2-40B4-BE49-F238E27FC236}">
              <a16:creationId xmlns:a16="http://schemas.microsoft.com/office/drawing/2014/main" id="{00000000-0008-0000-0500-00000E000000}"/>
            </a:ext>
          </a:extLst>
        </xdr:cNvPr>
        <xdr:cNvPicPr>
          <a:picLocks noChangeAspect="1"/>
        </xdr:cNvPicPr>
      </xdr:nvPicPr>
      <xdr:blipFill>
        <a:blip xmlns:r="http://schemas.openxmlformats.org/officeDocument/2006/relationships" r:embed="rId10"/>
        <a:stretch>
          <a:fillRect/>
        </a:stretch>
      </xdr:blipFill>
      <xdr:spPr>
        <a:xfrm>
          <a:off x="263525" y="17030700"/>
          <a:ext cx="5914286" cy="1419049"/>
        </a:xfrm>
        <a:prstGeom prst="rect">
          <a:avLst/>
        </a:prstGeom>
        <a:ln w="12700" cap="flat">
          <a:noFill/>
          <a:miter lim="400000"/>
        </a:ln>
        <a:effectLst>
          <a:outerShdw blurRad="63500" rotWithShape="0">
            <a:srgbClr val="000000">
              <a:alpha val="40000"/>
            </a:srgbClr>
          </a:outerShdw>
        </a:effectLst>
      </xdr:spPr>
    </xdr:pic>
    <xdr:clientData/>
  </xdr:twoCellAnchor>
  <xdr:twoCellAnchor>
    <xdr:from>
      <xdr:col>1</xdr:col>
      <xdr:colOff>133350</xdr:colOff>
      <xdr:row>103</xdr:row>
      <xdr:rowOff>114300</xdr:rowOff>
    </xdr:from>
    <xdr:to>
      <xdr:col>10</xdr:col>
      <xdr:colOff>18293</xdr:colOff>
      <xdr:row>128</xdr:row>
      <xdr:rowOff>113704</xdr:rowOff>
    </xdr:to>
    <xdr:pic>
      <xdr:nvPicPr>
        <xdr:cNvPr id="15" name="Picture 11" descr="Picture 11">
          <a:extLst>
            <a:ext uri="{FF2B5EF4-FFF2-40B4-BE49-F238E27FC236}">
              <a16:creationId xmlns:a16="http://schemas.microsoft.com/office/drawing/2014/main" id="{00000000-0008-0000-0500-00000F000000}"/>
            </a:ext>
          </a:extLst>
        </xdr:cNvPr>
        <xdr:cNvPicPr>
          <a:picLocks noChangeAspect="1"/>
        </xdr:cNvPicPr>
      </xdr:nvPicPr>
      <xdr:blipFill>
        <a:blip xmlns:r="http://schemas.openxmlformats.org/officeDocument/2006/relationships" r:embed="rId11"/>
        <a:stretch>
          <a:fillRect/>
        </a:stretch>
      </xdr:blipFill>
      <xdr:spPr>
        <a:xfrm>
          <a:off x="349250" y="19735800"/>
          <a:ext cx="6057144" cy="4761905"/>
        </a:xfrm>
        <a:prstGeom prst="rect">
          <a:avLst/>
        </a:prstGeom>
        <a:ln w="12700" cap="flat">
          <a:noFill/>
          <a:miter lim="400000"/>
        </a:ln>
        <a:effectLst>
          <a:outerShdw blurRad="63500" rotWithShape="0">
            <a:srgbClr val="000000">
              <a:alpha val="40000"/>
            </a:srgbClr>
          </a:outerShdw>
        </a:effectLst>
      </xdr:spPr>
    </xdr:pic>
    <xdr:clientData/>
  </xdr:two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Users/dougpascover/Library/Mobile%20Documents/com~apple~CloudDocs/Documents/Imagine/Budget%20Development/2025-2026b/First%20draft%202025-2026-%205%25%20no%20QIP.xlsx" TargetMode="External"/><Relationship Id="rId1" Type="http://schemas.openxmlformats.org/officeDocument/2006/relationships/externalLinkPath" Target="/Users/dougpascover/Library/Mobile%20Documents/com~apple~CloudDocs/Documents/Imagine/Budget%20Development/2025-2026b/First%20draft%202025-2026-%205%25%20no%20QIP.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Export Summary"/>
      <sheetName val="Proposed Budget"/>
      <sheetName val="Forecast on Yearly Trend"/>
      <sheetName val="Calculators"/>
      <sheetName val="Hours"/>
      <sheetName val="Instructions"/>
      <sheetName val="Change notes"/>
    </sheetNames>
    <sheetDataSet>
      <sheetData sheetId="0"/>
      <sheetData sheetId="1"/>
      <sheetData sheetId="2"/>
      <sheetData sheetId="3"/>
      <sheetData sheetId="4">
        <row r="206">
          <cell r="C206">
            <v>43</v>
          </cell>
          <cell r="D206">
            <v>450</v>
          </cell>
        </row>
        <row r="207">
          <cell r="C207">
            <v>52</v>
          </cell>
          <cell r="D207">
            <v>450</v>
          </cell>
        </row>
        <row r="208">
          <cell r="C208">
            <v>34</v>
          </cell>
          <cell r="D208">
            <v>450</v>
          </cell>
        </row>
      </sheetData>
      <sheetData sheetId="5"/>
      <sheetData sheetId="6"/>
    </sheetDataSet>
  </externalBook>
</externalLink>
</file>

<file path=xl/theme/theme1.xml><?xml version="1.0" encoding="utf-8"?>
<a:theme xmlns:a="http://schemas.openxmlformats.org/drawingml/2006/main" name="Office Theme">
  <a:themeElements>
    <a:clrScheme name="Office Theme">
      <a:dk1>
        <a:srgbClr val="000000"/>
      </a:dk1>
      <a:lt1>
        <a:srgbClr val="FFFFFF"/>
      </a:lt1>
      <a:dk2>
        <a:srgbClr val="A7A7A7"/>
      </a:dk2>
      <a:lt2>
        <a:srgbClr val="535353"/>
      </a:lt2>
      <a:accent1>
        <a:srgbClr val="4472C4"/>
      </a:accent1>
      <a:accent2>
        <a:srgbClr val="ED7D31"/>
      </a:accent2>
      <a:accent3>
        <a:srgbClr val="A5A5A5"/>
      </a:accent3>
      <a:accent4>
        <a:srgbClr val="FFC000"/>
      </a:accent4>
      <a:accent5>
        <a:srgbClr val="5B9BD5"/>
      </a:accent5>
      <a:accent6>
        <a:srgbClr val="70AD47"/>
      </a:accent6>
      <a:hlink>
        <a:srgbClr val="0000FF"/>
      </a:hlink>
      <a:folHlink>
        <a:srgbClr val="FF00FF"/>
      </a:folHlink>
    </a:clrScheme>
    <a:fontScheme name="Office Theme">
      <a:majorFont>
        <a:latin typeface="Helvetica Neue"/>
        <a:ea typeface="Helvetica Neue"/>
        <a:cs typeface="Helvetica Neue"/>
      </a:majorFont>
      <a:minorFont>
        <a:latin typeface="Helvetica Neue"/>
        <a:ea typeface="Helvetica Neue"/>
        <a:cs typeface="Helvetica Neue"/>
      </a:minorFont>
    </a:fontScheme>
    <a:fmtScheme name="Office Them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FF"/>
        </a:solidFill>
        <a:ln w="12700" cap="flat">
          <a:solidFill>
            <a:schemeClr val="accent1"/>
          </a:solidFill>
          <a:prstDash val="solid"/>
          <a:miter lim="800000"/>
        </a:ln>
        <a:effectLst/>
        <a:sp3d/>
      </a:spPr>
      <a:bodyPr rot="0" spcFirstLastPara="1" vertOverflow="overflow" horzOverflow="overflow" vert="horz" wrap="square" lIns="45719" tIns="45719" rIns="45719" bIns="45719" numCol="1" spcCol="38100" rtlCol="0" anchor="ctr">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Calibri"/>
            <a:ea typeface="Calibri"/>
            <a:cs typeface="Calibri"/>
            <a:sym typeface="Calibri"/>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spDef>
    <a:lnDef>
      <a:spPr>
        <a:noFill/>
        <a:ln w="12700" cap="flat">
          <a:solidFill>
            <a:schemeClr val="accent1"/>
          </a:solidFill>
          <a:prstDash val="solid"/>
          <a:miter lim="800000"/>
        </a:ln>
        <a:effectLst/>
        <a:sp3d/>
      </a:spPr>
      <a:bodyPr rot="0" spcFirstLastPara="1" vertOverflow="overflow" horzOverflow="overflow" vert="horz" wrap="square" lIns="91439" tIns="45719" rIns="91439" bIns="45719" numCol="1" spcCol="38100" rtlCol="0" anchor="t">
        <a:noAutofit/>
      </a:bodyPr>
      <a:lstStyle>
        <a:def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lnDef>
    <a:txDef>
      <a:spPr>
        <a:noFill/>
        <a:ln w="12700" cap="flat">
          <a:noFill/>
          <a:miter lim="400000"/>
        </a:ln>
        <a:effectLst/>
        <a:sp3d/>
      </a:spPr>
      <a:bodyPr rot="0" spcFirstLastPara="1" vertOverflow="overflow" horzOverflow="overflow" vert="horz" wrap="square" lIns="45719" tIns="45719" rIns="45719" bIns="45719" numCol="1" spcCol="38100" rtlCol="0" anchor="t">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Calibri"/>
            <a:ea typeface="Calibri"/>
            <a:cs typeface="Calibri"/>
            <a:sym typeface="Calibri"/>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txDef>
  </a:objectDefaults>
  <a:extraClrSchemeLst/>
</a:theme>
</file>

<file path=xl/worksheets/_rels/sheet5.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drawing" Target="../drawings/drawing1.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3:D20"/>
  <sheetViews>
    <sheetView showGridLines="0" workbookViewId="0">
      <selection activeCell="G30" sqref="G30"/>
    </sheetView>
  </sheetViews>
  <sheetFormatPr baseColWidth="10" defaultColWidth="10" defaultRowHeight="13" customHeight="1" x14ac:dyDescent="0.2"/>
  <cols>
    <col min="1" max="1" width="2" customWidth="1"/>
    <col min="2" max="4" width="28" customWidth="1"/>
  </cols>
  <sheetData>
    <row r="3" spans="2:4" ht="50" customHeight="1" x14ac:dyDescent="0.2">
      <c r="B3" s="419" t="s">
        <v>0</v>
      </c>
      <c r="C3" s="420"/>
      <c r="D3" s="420"/>
    </row>
    <row r="7" spans="2:4" ht="19" x14ac:dyDescent="0.25">
      <c r="B7" s="1" t="s">
        <v>1</v>
      </c>
      <c r="C7" s="1" t="s">
        <v>2</v>
      </c>
      <c r="D7" s="1" t="s">
        <v>3</v>
      </c>
    </row>
    <row r="9" spans="2:4" ht="16" x14ac:dyDescent="0.2">
      <c r="B9" s="2" t="s">
        <v>4</v>
      </c>
      <c r="C9" s="2"/>
      <c r="D9" s="2"/>
    </row>
    <row r="10" spans="2:4" ht="16" x14ac:dyDescent="0.2">
      <c r="B10" s="3"/>
      <c r="C10" s="3" t="s">
        <v>5</v>
      </c>
      <c r="D10" s="4" t="s">
        <v>4</v>
      </c>
    </row>
    <row r="11" spans="2:4" ht="16" x14ac:dyDescent="0.2">
      <c r="B11" s="2" t="s">
        <v>110</v>
      </c>
      <c r="C11" s="2"/>
      <c r="D11" s="2"/>
    </row>
    <row r="12" spans="2:4" ht="16" x14ac:dyDescent="0.2">
      <c r="B12" s="3"/>
      <c r="C12" s="3" t="s">
        <v>5</v>
      </c>
      <c r="D12" s="4" t="s">
        <v>110</v>
      </c>
    </row>
    <row r="13" spans="2:4" ht="16" x14ac:dyDescent="0.2">
      <c r="B13" s="2" t="s">
        <v>148</v>
      </c>
      <c r="C13" s="2"/>
      <c r="D13" s="2"/>
    </row>
    <row r="14" spans="2:4" ht="16" x14ac:dyDescent="0.2">
      <c r="B14" s="3"/>
      <c r="C14" s="3" t="s">
        <v>5</v>
      </c>
      <c r="D14" s="4" t="s">
        <v>148</v>
      </c>
    </row>
    <row r="15" spans="2:4" ht="16" x14ac:dyDescent="0.2">
      <c r="B15" s="2" t="s">
        <v>185</v>
      </c>
      <c r="C15" s="2"/>
      <c r="D15" s="2"/>
    </row>
    <row r="16" spans="2:4" ht="16" x14ac:dyDescent="0.2">
      <c r="B16" s="3"/>
      <c r="C16" s="3" t="s">
        <v>5</v>
      </c>
      <c r="D16" s="4" t="s">
        <v>185</v>
      </c>
    </row>
    <row r="17" spans="2:4" ht="16" x14ac:dyDescent="0.2">
      <c r="B17" s="2" t="s">
        <v>229</v>
      </c>
      <c r="C17" s="2"/>
      <c r="D17" s="2"/>
    </row>
    <row r="18" spans="2:4" ht="16" x14ac:dyDescent="0.2">
      <c r="B18" s="3"/>
      <c r="C18" s="3" t="s">
        <v>5</v>
      </c>
      <c r="D18" s="4" t="s">
        <v>229</v>
      </c>
    </row>
    <row r="19" spans="2:4" ht="16" x14ac:dyDescent="0.2">
      <c r="B19" s="2" t="s">
        <v>256</v>
      </c>
      <c r="C19" s="2"/>
      <c r="D19" s="2"/>
    </row>
    <row r="20" spans="2:4" ht="16" x14ac:dyDescent="0.2">
      <c r="B20" s="3"/>
      <c r="C20" s="3" t="s">
        <v>5</v>
      </c>
      <c r="D20" s="4" t="s">
        <v>256</v>
      </c>
    </row>
  </sheetData>
  <mergeCells count="1">
    <mergeCell ref="B3:D3"/>
  </mergeCells>
  <hyperlinks>
    <hyperlink ref="D10" location="'Proposed Budget'!R1C1" display="Proposed Budget" xr:uid="{00000000-0004-0000-0000-000000000000}"/>
    <hyperlink ref="D12" location="'Forecast on Yearly Trend'!R1C1" display="Forecast on Yearly Trend" xr:uid="{00000000-0004-0000-0000-000001000000}"/>
    <hyperlink ref="D14" location="'Calculators'!R1C1" display="Calculators" xr:uid="{00000000-0004-0000-0000-000002000000}"/>
    <hyperlink ref="D16" location="'Hours'!R1C1" display="Hours" xr:uid="{00000000-0004-0000-0000-000003000000}"/>
    <hyperlink ref="D18" location="'Instructions'!R1C1" display="Instructions" xr:uid="{00000000-0004-0000-0000-000004000000}"/>
    <hyperlink ref="D20" location="'Change notes'!R2C1" display="Change notes" xr:uid="{00000000-0004-0000-0000-000005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AD89"/>
  <sheetViews>
    <sheetView showGridLines="0" tabSelected="1" zoomScale="91" workbookViewId="0">
      <pane ySplit="4" topLeftCell="A65" activePane="bottomLeft" state="frozen"/>
      <selection pane="bottomLeft" activeCell="O13" sqref="O13"/>
    </sheetView>
  </sheetViews>
  <sheetFormatPr baseColWidth="10" defaultColWidth="11" defaultRowHeight="16" customHeight="1" x14ac:dyDescent="0.2"/>
  <cols>
    <col min="1" max="1" width="33.6640625" style="5" customWidth="1"/>
    <col min="2" max="14" width="12.6640625" style="5" customWidth="1"/>
    <col min="15" max="15" width="15.6640625" style="5" customWidth="1"/>
    <col min="16" max="16" width="10.6640625" style="5" customWidth="1"/>
    <col min="17" max="17" width="18.6640625" style="5" customWidth="1"/>
    <col min="18" max="18" width="11" style="5" customWidth="1"/>
    <col min="19" max="19" width="11.6640625" style="5" customWidth="1"/>
    <col min="20" max="28" width="11" style="5" customWidth="1"/>
    <col min="29" max="29" width="11" style="5" hidden="1" customWidth="1"/>
    <col min="30" max="31" width="11" style="5" customWidth="1"/>
    <col min="32" max="16384" width="11" style="5"/>
  </cols>
  <sheetData>
    <row r="1" spans="1:30" ht="15.5" customHeight="1" x14ac:dyDescent="0.2">
      <c r="A1" s="6" t="s">
        <v>6</v>
      </c>
      <c r="B1" s="7"/>
      <c r="C1" s="7"/>
      <c r="D1" s="7"/>
      <c r="E1" s="7"/>
      <c r="F1" s="7"/>
      <c r="G1" s="7"/>
      <c r="H1" s="7"/>
      <c r="I1" s="7"/>
      <c r="J1" s="7"/>
      <c r="K1" s="7"/>
      <c r="L1" s="7"/>
      <c r="M1" s="7"/>
      <c r="N1" s="7"/>
      <c r="O1" s="7"/>
      <c r="P1" s="7"/>
      <c r="Q1" s="7"/>
      <c r="R1" s="7"/>
      <c r="S1" s="7"/>
      <c r="T1" s="7"/>
      <c r="U1" s="7"/>
      <c r="V1" s="8"/>
      <c r="W1" s="8"/>
      <c r="X1" s="8"/>
      <c r="Y1" s="8"/>
      <c r="Z1" s="8"/>
      <c r="AA1" s="8"/>
      <c r="AB1" s="8"/>
      <c r="AC1" s="8"/>
      <c r="AD1" s="8"/>
    </row>
    <row r="2" spans="1:30" ht="15.5" customHeight="1" x14ac:dyDescent="0.2">
      <c r="A2" s="9" t="str">
        <f>CONCATENATE("Proposed Budget for ",R5)</f>
        <v>Proposed Budget for 2025-26</v>
      </c>
      <c r="B2" s="7"/>
      <c r="C2" s="7"/>
      <c r="D2" s="7"/>
      <c r="E2" s="7"/>
      <c r="F2" s="7"/>
      <c r="G2" s="7"/>
      <c r="H2" s="7"/>
      <c r="I2" s="7"/>
      <c r="J2" s="7"/>
      <c r="K2" s="7"/>
      <c r="L2" s="7"/>
      <c r="M2" s="7"/>
      <c r="N2" s="7"/>
      <c r="O2" s="7"/>
      <c r="P2" s="7"/>
      <c r="Q2" s="7"/>
      <c r="R2" s="7"/>
      <c r="S2" s="7"/>
      <c r="T2" s="7"/>
      <c r="U2" s="7"/>
      <c r="V2" s="8"/>
      <c r="W2" s="8"/>
      <c r="X2" s="8"/>
      <c r="Y2" s="8"/>
      <c r="Z2" s="8"/>
      <c r="AA2" s="8"/>
      <c r="AB2" s="8"/>
      <c r="AC2" s="8"/>
      <c r="AD2" s="8"/>
    </row>
    <row r="3" spans="1:30" ht="15.5" customHeight="1" x14ac:dyDescent="0.2">
      <c r="A3" s="7"/>
      <c r="B3" s="7"/>
      <c r="C3" s="7"/>
      <c r="D3" s="7"/>
      <c r="E3" s="7"/>
      <c r="F3" s="7"/>
      <c r="G3" s="7"/>
      <c r="H3" s="7"/>
      <c r="I3" s="7"/>
      <c r="J3" s="7"/>
      <c r="K3" s="7"/>
      <c r="L3" s="7"/>
      <c r="M3" s="7"/>
      <c r="N3" s="7"/>
      <c r="O3" s="7"/>
      <c r="P3" s="7"/>
      <c r="Q3" s="7"/>
      <c r="R3" s="7"/>
      <c r="S3" s="7"/>
      <c r="T3" s="7"/>
      <c r="U3" s="7"/>
      <c r="V3" s="8"/>
      <c r="W3" s="8"/>
      <c r="X3" s="8"/>
      <c r="Y3" s="8"/>
      <c r="Z3" s="8"/>
      <c r="AA3" s="8"/>
      <c r="AB3" s="8"/>
      <c r="AC3" s="8"/>
      <c r="AD3" s="8"/>
    </row>
    <row r="4" spans="1:30" ht="17" customHeight="1" x14ac:dyDescent="0.2">
      <c r="A4" s="7"/>
      <c r="B4" s="10" t="str">
        <f>CONCATENATE("Jul '",MID($R$5,3,2))</f>
        <v>Jul '25</v>
      </c>
      <c r="C4" s="10" t="str">
        <f>CONCATENATE("Aug '",MID($R$5,3,2))</f>
        <v>Aug '25</v>
      </c>
      <c r="D4" s="10" t="str">
        <f>CONCATENATE("Sep '",MID($R$5,3,2))</f>
        <v>Sep '25</v>
      </c>
      <c r="E4" s="10" t="str">
        <f>CONCATENATE("Oct '",MID($R$5,3,2))</f>
        <v>Oct '25</v>
      </c>
      <c r="F4" s="10" t="str">
        <f>CONCATENATE("Nov '",MID($R$5,3,2))</f>
        <v>Nov '25</v>
      </c>
      <c r="G4" s="10" t="str">
        <f>CONCATENATE("Dec '",MID($R$5,3,2))</f>
        <v>Dec '25</v>
      </c>
      <c r="H4" s="10" t="str">
        <f>CONCATENATE("Jan '",MID($R$5,6,2))</f>
        <v>Jan '26</v>
      </c>
      <c r="I4" s="10" t="str">
        <f>CONCATENATE("Feb '",MID($R$5,6,2))</f>
        <v>Feb '26</v>
      </c>
      <c r="J4" s="10" t="str">
        <f>CONCATENATE("Mar '",MID($R$5,6,2))</f>
        <v>Mar '26</v>
      </c>
      <c r="K4" s="10" t="str">
        <f>CONCATENATE("Apr '",MID($R$5,6,2))</f>
        <v>Apr '26</v>
      </c>
      <c r="L4" s="10" t="str">
        <f>CONCATENATE("May '",MID($R$5,6,2))</f>
        <v>May '26</v>
      </c>
      <c r="M4" s="10" t="str">
        <f>CONCATENATE("Jun '",MID($R$5,6,2))</f>
        <v>Jun '26</v>
      </c>
      <c r="N4" s="10" t="s">
        <v>7</v>
      </c>
      <c r="O4" s="7"/>
      <c r="P4" s="7"/>
      <c r="Q4" s="11"/>
      <c r="R4" s="12"/>
      <c r="S4" s="7"/>
      <c r="T4" s="7"/>
      <c r="U4" s="7"/>
      <c r="V4" s="8"/>
      <c r="W4" s="8"/>
      <c r="X4" s="8"/>
      <c r="Y4" s="8"/>
      <c r="Z4" s="8"/>
      <c r="AA4" s="8"/>
      <c r="AB4" s="8"/>
      <c r="AC4" s="8"/>
      <c r="AD4" s="8"/>
    </row>
    <row r="5" spans="1:30" ht="17" customHeight="1" x14ac:dyDescent="0.2">
      <c r="A5" s="13" t="s">
        <v>8</v>
      </c>
      <c r="B5" s="14"/>
      <c r="C5" s="14"/>
      <c r="D5" s="14"/>
      <c r="E5" s="14"/>
      <c r="F5" s="14"/>
      <c r="G5" s="14"/>
      <c r="H5" s="14"/>
      <c r="I5" s="14"/>
      <c r="J5" s="14"/>
      <c r="K5" s="14"/>
      <c r="L5" s="14"/>
      <c r="M5" s="14"/>
      <c r="N5" s="15"/>
      <c r="O5" s="7"/>
      <c r="P5" s="16"/>
      <c r="Q5" s="17" t="s">
        <v>9</v>
      </c>
      <c r="R5" s="18" t="s">
        <v>22</v>
      </c>
      <c r="S5" s="19" t="s">
        <v>11</v>
      </c>
      <c r="T5" s="7"/>
      <c r="U5" s="7"/>
      <c r="V5" s="8"/>
      <c r="W5" s="8"/>
      <c r="X5" s="8"/>
      <c r="Y5" s="8"/>
      <c r="Z5" s="8"/>
      <c r="AA5" s="8"/>
      <c r="AB5" s="20" t="s">
        <v>12</v>
      </c>
      <c r="AC5" s="21" t="s">
        <v>13</v>
      </c>
      <c r="AD5" s="8"/>
    </row>
    <row r="6" spans="1:30" ht="16" customHeight="1" x14ac:dyDescent="0.2">
      <c r="A6" s="22" t="s">
        <v>14</v>
      </c>
      <c r="B6" s="23"/>
      <c r="C6" s="23"/>
      <c r="D6" s="23"/>
      <c r="E6" s="23"/>
      <c r="F6" s="23"/>
      <c r="G6" s="23"/>
      <c r="H6" s="23"/>
      <c r="I6" s="23"/>
      <c r="J6" s="23"/>
      <c r="K6" s="23"/>
      <c r="L6" s="23"/>
      <c r="M6" s="23"/>
      <c r="N6" s="24">
        <f>SUM(B6:M6)</f>
        <v>0</v>
      </c>
      <c r="O6" s="25" t="s">
        <v>15</v>
      </c>
      <c r="P6" s="16"/>
      <c r="Q6" s="26"/>
      <c r="R6" s="27"/>
      <c r="S6" s="28"/>
      <c r="T6" s="7"/>
      <c r="U6" s="7"/>
      <c r="V6" s="8"/>
      <c r="W6" s="8"/>
      <c r="X6" s="8"/>
      <c r="Y6" s="8"/>
      <c r="Z6" s="8"/>
      <c r="AA6" s="8"/>
      <c r="AB6" s="8"/>
      <c r="AC6" s="21" t="s">
        <v>10</v>
      </c>
      <c r="AD6" s="8"/>
    </row>
    <row r="7" spans="1:30" ht="15.5" customHeight="1" x14ac:dyDescent="0.2">
      <c r="A7" s="22" t="s">
        <v>16</v>
      </c>
      <c r="B7" s="29">
        <v>15000</v>
      </c>
      <c r="C7" s="29">
        <v>0</v>
      </c>
      <c r="D7" s="29">
        <v>0</v>
      </c>
      <c r="E7" s="29">
        <v>0</v>
      </c>
      <c r="F7" s="29">
        <v>0</v>
      </c>
      <c r="G7" s="29">
        <v>30000</v>
      </c>
      <c r="H7" s="29">
        <v>0</v>
      </c>
      <c r="I7" s="29">
        <v>0</v>
      </c>
      <c r="J7" s="29">
        <v>13000</v>
      </c>
      <c r="K7" s="29">
        <v>0</v>
      </c>
      <c r="L7" s="29">
        <v>1000</v>
      </c>
      <c r="M7" s="29">
        <v>1000</v>
      </c>
      <c r="N7" s="30">
        <f>SUM(B7:M7)</f>
        <v>60000</v>
      </c>
      <c r="O7" s="25" t="s">
        <v>15</v>
      </c>
      <c r="P7" s="16"/>
      <c r="Q7" s="31" t="s">
        <v>17</v>
      </c>
      <c r="R7" s="26"/>
      <c r="S7" s="28"/>
      <c r="T7" s="7"/>
      <c r="U7" s="7"/>
      <c r="V7" s="8"/>
      <c r="W7" s="8"/>
      <c r="X7" s="8"/>
      <c r="Y7" s="8"/>
      <c r="Z7" s="8"/>
      <c r="AA7" s="8"/>
      <c r="AB7" s="8"/>
      <c r="AC7" s="21" t="s">
        <v>18</v>
      </c>
      <c r="AD7" s="8"/>
    </row>
    <row r="8" spans="1:30" ht="15.5" customHeight="1" x14ac:dyDescent="0.2">
      <c r="A8" s="32" t="s">
        <v>19</v>
      </c>
      <c r="B8" s="33">
        <f t="shared" ref="B8:N8" si="0">(B6)+(B7)</f>
        <v>15000</v>
      </c>
      <c r="C8" s="33">
        <f t="shared" si="0"/>
        <v>0</v>
      </c>
      <c r="D8" s="33">
        <f t="shared" si="0"/>
        <v>0</v>
      </c>
      <c r="E8" s="33">
        <f t="shared" si="0"/>
        <v>0</v>
      </c>
      <c r="F8" s="33">
        <f t="shared" si="0"/>
        <v>0</v>
      </c>
      <c r="G8" s="33">
        <f t="shared" si="0"/>
        <v>30000</v>
      </c>
      <c r="H8" s="33">
        <f t="shared" si="0"/>
        <v>0</v>
      </c>
      <c r="I8" s="33">
        <f t="shared" si="0"/>
        <v>0</v>
      </c>
      <c r="J8" s="33">
        <f t="shared" si="0"/>
        <v>13000</v>
      </c>
      <c r="K8" s="33">
        <f t="shared" si="0"/>
        <v>0</v>
      </c>
      <c r="L8" s="33">
        <f t="shared" si="0"/>
        <v>1000</v>
      </c>
      <c r="M8" s="33">
        <f t="shared" si="0"/>
        <v>1000</v>
      </c>
      <c r="N8" s="34">
        <f t="shared" si="0"/>
        <v>60000</v>
      </c>
      <c r="O8" s="7"/>
      <c r="P8" s="16"/>
      <c r="Q8" s="35" t="s">
        <v>20</v>
      </c>
      <c r="R8" s="36">
        <v>4.2000000000000003E-2</v>
      </c>
      <c r="S8" s="37" t="s">
        <v>21</v>
      </c>
      <c r="T8" s="7"/>
      <c r="U8" s="7"/>
      <c r="V8" s="8"/>
      <c r="W8" s="8"/>
      <c r="X8" s="8"/>
      <c r="Y8" s="8"/>
      <c r="Z8" s="8"/>
      <c r="AA8" s="8"/>
      <c r="AB8" s="8"/>
      <c r="AC8" s="21" t="s">
        <v>22</v>
      </c>
      <c r="AD8" s="8"/>
    </row>
    <row r="9" spans="1:30" ht="15.5" customHeight="1" x14ac:dyDescent="0.2">
      <c r="A9" s="38" t="s">
        <v>23</v>
      </c>
      <c r="B9" s="39">
        <f>Calculators!B86</f>
        <v>553817.75</v>
      </c>
      <c r="C9" s="39">
        <f>Calculators!C86</f>
        <v>554576.25</v>
      </c>
      <c r="D9" s="39">
        <f>Calculators!D86</f>
        <v>544849</v>
      </c>
      <c r="E9" s="39">
        <f>Calculators!E86</f>
        <v>552690.25</v>
      </c>
      <c r="F9" s="39">
        <f>Calculators!F86</f>
        <v>543988</v>
      </c>
      <c r="G9" s="39">
        <f>Calculators!G86</f>
        <v>526532.93333333335</v>
      </c>
      <c r="H9" s="39">
        <f>Calculators!H86</f>
        <v>557159.25</v>
      </c>
      <c r="I9" s="39">
        <f>Calculators!I86</f>
        <v>524364.03333333344</v>
      </c>
      <c r="J9" s="39">
        <f>Calculators!J86</f>
        <v>554576.25</v>
      </c>
      <c r="K9" s="39">
        <f>Calculators!K86</f>
        <v>543496</v>
      </c>
      <c r="L9" s="39">
        <f>Calculators!L86</f>
        <v>555314.25</v>
      </c>
      <c r="M9" s="39">
        <f>Calculators!M86</f>
        <v>548990</v>
      </c>
      <c r="N9" s="42">
        <f t="shared" ref="N9:N15" si="1">SUM(B9:M9)</f>
        <v>6560353.9666666668</v>
      </c>
      <c r="O9" s="43"/>
      <c r="P9" s="16"/>
      <c r="Q9" s="44" t="s">
        <v>24</v>
      </c>
      <c r="R9" s="45">
        <v>4.2000000000000003E-2</v>
      </c>
      <c r="S9" s="37" t="s">
        <v>21</v>
      </c>
      <c r="T9" s="7"/>
      <c r="U9" s="7"/>
      <c r="V9" s="8"/>
      <c r="W9" s="8"/>
      <c r="X9" s="8"/>
      <c r="Y9" s="8"/>
      <c r="Z9" s="8"/>
      <c r="AA9" s="8"/>
      <c r="AB9" s="8"/>
      <c r="AC9" s="21" t="s">
        <v>25</v>
      </c>
      <c r="AD9" s="8"/>
    </row>
    <row r="10" spans="1:30" ht="15.5" customHeight="1" x14ac:dyDescent="0.2">
      <c r="A10" s="38" t="s">
        <v>26</v>
      </c>
      <c r="B10" s="39">
        <f>+Calculators!B94</f>
        <v>66000</v>
      </c>
      <c r="C10" s="39">
        <f>+Calculators!C94</f>
        <v>66000</v>
      </c>
      <c r="D10" s="39">
        <f>+Calculators!D94</f>
        <v>66000</v>
      </c>
      <c r="E10" s="39">
        <f>+Calculators!E94</f>
        <v>66000</v>
      </c>
      <c r="F10" s="39">
        <f>+Calculators!F94</f>
        <v>66000</v>
      </c>
      <c r="G10" s="39">
        <f>+Calculators!G94</f>
        <v>66000</v>
      </c>
      <c r="H10" s="39">
        <f>+Calculators!H94</f>
        <v>66000</v>
      </c>
      <c r="I10" s="39">
        <f>+Calculators!I94</f>
        <v>66000</v>
      </c>
      <c r="J10" s="39">
        <f>+Calculators!J94</f>
        <v>66000</v>
      </c>
      <c r="K10" s="39">
        <f>+Calculators!K94</f>
        <v>66000</v>
      </c>
      <c r="L10" s="39">
        <f>+Calculators!L94</f>
        <v>66000</v>
      </c>
      <c r="M10" s="39">
        <f>+Calculators!M94</f>
        <v>66000</v>
      </c>
      <c r="N10" s="42">
        <f t="shared" si="1"/>
        <v>792000</v>
      </c>
      <c r="O10" s="43"/>
      <c r="P10" s="16"/>
      <c r="Q10" s="35" t="s">
        <v>27</v>
      </c>
      <c r="R10" s="36">
        <v>7.7499999999999999E-2</v>
      </c>
      <c r="S10" s="37" t="s">
        <v>21</v>
      </c>
      <c r="T10" s="7"/>
      <c r="U10" s="7"/>
      <c r="V10" s="8"/>
      <c r="W10" s="8"/>
      <c r="X10" s="8"/>
      <c r="Y10" s="8"/>
      <c r="Z10" s="8"/>
      <c r="AA10" s="8"/>
      <c r="AB10" s="8"/>
      <c r="AC10" s="21" t="s">
        <v>28</v>
      </c>
      <c r="AD10" s="8"/>
    </row>
    <row r="11" spans="1:30" ht="15.5" customHeight="1" x14ac:dyDescent="0.2">
      <c r="A11" s="46" t="s">
        <v>456</v>
      </c>
      <c r="B11" s="39">
        <f>Calculators!B67</f>
        <v>61325.184999999998</v>
      </c>
      <c r="C11" s="39">
        <f>Calculators!C67</f>
        <v>61409.175000000003</v>
      </c>
      <c r="D11" s="39">
        <f>Calculators!D67</f>
        <v>60332.06</v>
      </c>
      <c r="E11" s="39">
        <f>Calculators!E67</f>
        <v>61200.334999999999</v>
      </c>
      <c r="F11" s="39">
        <f>Calculators!F67</f>
        <v>60236.72</v>
      </c>
      <c r="G11" s="39">
        <f>Calculators!G67</f>
        <v>58303.890666666666</v>
      </c>
      <c r="H11" s="39">
        <f>Calculators!H67</f>
        <v>61695.195</v>
      </c>
      <c r="I11" s="39">
        <f>Calculators!I67</f>
        <v>58063.724666666676</v>
      </c>
      <c r="J11" s="39">
        <f>Calculators!J67</f>
        <v>61409.175000000003</v>
      </c>
      <c r="K11" s="39">
        <f>Calculators!K67</f>
        <v>60182.239999999998</v>
      </c>
      <c r="L11" s="39">
        <f>Calculators!L67</f>
        <v>61490.895000000004</v>
      </c>
      <c r="M11" s="39">
        <f>Calculators!M67</f>
        <v>60790.6</v>
      </c>
      <c r="N11" s="47">
        <f t="shared" si="1"/>
        <v>726439.19533333334</v>
      </c>
      <c r="O11" s="43"/>
      <c r="P11" s="40"/>
      <c r="Q11" s="40"/>
      <c r="R11" s="48"/>
      <c r="S11" s="49"/>
      <c r="T11" s="7"/>
      <c r="U11" s="7"/>
      <c r="V11" s="8"/>
      <c r="W11" s="8"/>
      <c r="X11" s="8"/>
      <c r="Y11" s="8"/>
      <c r="Z11" s="8"/>
      <c r="AA11" s="8"/>
      <c r="AB11" s="8"/>
      <c r="AC11" s="21" t="s">
        <v>30</v>
      </c>
      <c r="AD11" s="8"/>
    </row>
    <row r="12" spans="1:30" ht="15.5" customHeight="1" x14ac:dyDescent="0.2">
      <c r="A12" s="333" t="s">
        <v>386</v>
      </c>
      <c r="B12" s="39">
        <f>Calculators!B83</f>
        <v>118654.98000000001</v>
      </c>
      <c r="C12" s="40">
        <f>Calculators!C83</f>
        <v>118654.98000000001</v>
      </c>
      <c r="D12" s="40">
        <f>Calculators!D83</f>
        <v>117804.98000000001</v>
      </c>
      <c r="E12" s="40">
        <f>Calculators!E83</f>
        <v>118654.98000000001</v>
      </c>
      <c r="F12" s="40">
        <f>Calculators!F83</f>
        <v>117804.98000000001</v>
      </c>
      <c r="G12" s="40">
        <f>Calculators!G83</f>
        <v>118654.98000000001</v>
      </c>
      <c r="H12" s="40">
        <f>Calculators!H83</f>
        <v>118654.98000000001</v>
      </c>
      <c r="I12" s="40">
        <f>Calculators!I83</f>
        <v>116954.98000000001</v>
      </c>
      <c r="J12" s="40">
        <f>Calculators!J83</f>
        <v>118654.98000000001</v>
      </c>
      <c r="K12" s="40">
        <f>Calculators!K83</f>
        <v>117804.98000000001</v>
      </c>
      <c r="L12" s="40">
        <f>Calculators!L83</f>
        <v>118654.98000000001</v>
      </c>
      <c r="M12" s="41">
        <f>Calculators!M83</f>
        <v>110279.98000000001</v>
      </c>
      <c r="N12" s="337">
        <f t="shared" si="1"/>
        <v>1411234.76</v>
      </c>
      <c r="O12" s="43"/>
      <c r="P12" s="40"/>
      <c r="Q12" s="40"/>
      <c r="R12" s="48"/>
      <c r="S12" s="49"/>
      <c r="T12" s="7"/>
      <c r="U12" s="7"/>
      <c r="V12" s="8"/>
      <c r="W12" s="8"/>
      <c r="X12" s="8"/>
      <c r="Y12" s="8"/>
      <c r="Z12" s="8"/>
      <c r="AA12" s="8"/>
      <c r="AB12" s="8"/>
      <c r="AC12" s="21"/>
      <c r="AD12" s="8"/>
    </row>
    <row r="13" spans="1:30" ht="15.5" customHeight="1" x14ac:dyDescent="0.2">
      <c r="A13" s="333" t="s">
        <v>404</v>
      </c>
      <c r="B13" s="39">
        <f>Calculators!B75</f>
        <v>54724.799999999996</v>
      </c>
      <c r="C13" s="40">
        <f>Calculators!C75</f>
        <v>54724.799999999996</v>
      </c>
      <c r="D13" s="40">
        <f>Calculators!D75</f>
        <v>54724.799999999996</v>
      </c>
      <c r="E13" s="40">
        <f>Calculators!E75</f>
        <v>54724.799999999996</v>
      </c>
      <c r="F13" s="40">
        <f>Calculators!F75</f>
        <v>54724.799999999996</v>
      </c>
      <c r="G13" s="40">
        <f>Calculators!G75</f>
        <v>54724.799999999996</v>
      </c>
      <c r="H13" s="40">
        <f>Calculators!H75</f>
        <v>54724.799999999996</v>
      </c>
      <c r="I13" s="40">
        <f>Calculators!I75</f>
        <v>54724.799999999996</v>
      </c>
      <c r="J13" s="40">
        <f>Calculators!J75</f>
        <v>54724.799999999996</v>
      </c>
      <c r="K13" s="40">
        <f>Calculators!K75</f>
        <v>54724.799999999996</v>
      </c>
      <c r="L13" s="40">
        <f>Calculators!L75</f>
        <v>54724.799999999996</v>
      </c>
      <c r="M13" s="41">
        <f>Calculators!M75</f>
        <v>54724.799999999996</v>
      </c>
      <c r="N13" s="337">
        <f t="shared" si="1"/>
        <v>656697.60000000009</v>
      </c>
      <c r="O13" s="423"/>
      <c r="P13" s="40"/>
      <c r="Q13" s="40"/>
      <c r="R13" s="48"/>
      <c r="S13" s="49"/>
      <c r="T13" s="7"/>
      <c r="U13" s="7"/>
      <c r="V13" s="8"/>
      <c r="W13" s="8"/>
      <c r="X13" s="8"/>
      <c r="Y13" s="8"/>
      <c r="Z13" s="8"/>
      <c r="AA13" s="8"/>
      <c r="AB13" s="8"/>
      <c r="AC13" s="21"/>
      <c r="AD13" s="8"/>
    </row>
    <row r="14" spans="1:30" ht="15.5" customHeight="1" x14ac:dyDescent="0.2">
      <c r="A14" s="46" t="s">
        <v>31</v>
      </c>
      <c r="B14" s="39">
        <f>ROUND(VLOOKUP(A14,'Forecast on Yearly Trend'!$A$7:$B$110,2,FALSE)/12,2)</f>
        <v>60.98</v>
      </c>
      <c r="C14" s="40">
        <f t="shared" ref="C14:L14" si="2">B14</f>
        <v>60.98</v>
      </c>
      <c r="D14" s="40">
        <f t="shared" si="2"/>
        <v>60.98</v>
      </c>
      <c r="E14" s="40">
        <f t="shared" si="2"/>
        <v>60.98</v>
      </c>
      <c r="F14" s="40">
        <f t="shared" si="2"/>
        <v>60.98</v>
      </c>
      <c r="G14" s="40">
        <f t="shared" si="2"/>
        <v>60.98</v>
      </c>
      <c r="H14" s="40">
        <f t="shared" si="2"/>
        <v>60.98</v>
      </c>
      <c r="I14" s="40">
        <f t="shared" si="2"/>
        <v>60.98</v>
      </c>
      <c r="J14" s="40">
        <f t="shared" si="2"/>
        <v>60.98</v>
      </c>
      <c r="K14" s="40">
        <f t="shared" si="2"/>
        <v>60.98</v>
      </c>
      <c r="L14" s="40">
        <f t="shared" si="2"/>
        <v>60.98</v>
      </c>
      <c r="M14" s="41">
        <f>VLOOKUP(A14,'Forecast on Yearly Trend'!$A$7:$B$110,2,FALSE)-SUM(B14:L14)</f>
        <v>61.019999999999868</v>
      </c>
      <c r="N14" s="47">
        <f t="shared" si="1"/>
        <v>731.8</v>
      </c>
      <c r="O14" s="50"/>
      <c r="P14" s="40"/>
      <c r="Q14" s="40"/>
      <c r="R14" s="7"/>
      <c r="S14" s="7"/>
      <c r="T14" s="7"/>
      <c r="U14" s="7"/>
      <c r="V14" s="8"/>
      <c r="W14" s="8"/>
      <c r="X14" s="8"/>
      <c r="Y14" s="8"/>
      <c r="Z14" s="8"/>
      <c r="AA14" s="8"/>
      <c r="AB14" s="8"/>
      <c r="AC14" s="21" t="s">
        <v>32</v>
      </c>
      <c r="AD14" s="8"/>
    </row>
    <row r="15" spans="1:30" ht="15.5" customHeight="1" x14ac:dyDescent="0.2">
      <c r="A15" s="46" t="s">
        <v>33</v>
      </c>
      <c r="B15" s="51">
        <f>ROUND(VLOOKUP(A15,'Forecast on Yearly Trend'!$A$7:$B$110,2,FALSE)/12,2)</f>
        <v>-4.17</v>
      </c>
      <c r="C15" s="52">
        <f t="shared" ref="C15:L15" si="3">B15</f>
        <v>-4.17</v>
      </c>
      <c r="D15" s="52">
        <f t="shared" si="3"/>
        <v>-4.17</v>
      </c>
      <c r="E15" s="52">
        <f t="shared" si="3"/>
        <v>-4.17</v>
      </c>
      <c r="F15" s="52">
        <f t="shared" si="3"/>
        <v>-4.17</v>
      </c>
      <c r="G15" s="52">
        <f t="shared" si="3"/>
        <v>-4.17</v>
      </c>
      <c r="H15" s="52">
        <f t="shared" si="3"/>
        <v>-4.17</v>
      </c>
      <c r="I15" s="52">
        <f t="shared" si="3"/>
        <v>-4.17</v>
      </c>
      <c r="J15" s="52">
        <f t="shared" si="3"/>
        <v>-4.17</v>
      </c>
      <c r="K15" s="52">
        <f t="shared" si="3"/>
        <v>-4.17</v>
      </c>
      <c r="L15" s="52">
        <f t="shared" si="3"/>
        <v>-4.17</v>
      </c>
      <c r="M15" s="53">
        <f>VLOOKUP(A15,'Forecast on Yearly Trend'!$A$7:$B$110,2,FALSE)-SUM(B15:L15)</f>
        <v>-4.1299999999999883</v>
      </c>
      <c r="N15" s="54">
        <f t="shared" si="1"/>
        <v>-50</v>
      </c>
      <c r="O15" s="50"/>
      <c r="P15" s="40"/>
      <c r="Q15" s="40"/>
      <c r="R15" s="7"/>
      <c r="S15" s="7"/>
      <c r="T15" s="7"/>
      <c r="U15" s="7"/>
      <c r="V15" s="8"/>
      <c r="W15" s="8"/>
      <c r="X15" s="8"/>
      <c r="Y15" s="8"/>
      <c r="Z15" s="8"/>
      <c r="AA15" s="8"/>
      <c r="AB15" s="8"/>
      <c r="AC15" s="21" t="s">
        <v>34</v>
      </c>
      <c r="AD15" s="8"/>
    </row>
    <row r="16" spans="1:30" ht="15.5" customHeight="1" x14ac:dyDescent="0.2">
      <c r="A16" s="55" t="s">
        <v>35</v>
      </c>
      <c r="B16" s="56">
        <f t="shared" ref="B16:N16" si="4">B8+SUM(B9:B15)</f>
        <v>869579.52500000002</v>
      </c>
      <c r="C16" s="56">
        <f t="shared" si="4"/>
        <v>855422.01500000001</v>
      </c>
      <c r="D16" s="56">
        <f t="shared" si="4"/>
        <v>843767.65</v>
      </c>
      <c r="E16" s="56">
        <f t="shared" si="4"/>
        <v>853327.17499999993</v>
      </c>
      <c r="F16" s="56">
        <f t="shared" si="4"/>
        <v>842811.30999999994</v>
      </c>
      <c r="G16" s="56">
        <f t="shared" si="4"/>
        <v>854273.41399999999</v>
      </c>
      <c r="H16" s="56">
        <f t="shared" si="4"/>
        <v>858291.03499999992</v>
      </c>
      <c r="I16" s="56">
        <f t="shared" si="4"/>
        <v>820164.34800000011</v>
      </c>
      <c r="J16" s="56">
        <f t="shared" si="4"/>
        <v>868422.01500000001</v>
      </c>
      <c r="K16" s="56">
        <f t="shared" si="4"/>
        <v>842264.83</v>
      </c>
      <c r="L16" s="56">
        <f t="shared" si="4"/>
        <v>857241.73499999999</v>
      </c>
      <c r="M16" s="56">
        <f t="shared" si="4"/>
        <v>841842.27</v>
      </c>
      <c r="N16" s="56">
        <f t="shared" si="4"/>
        <v>10207407.322000001</v>
      </c>
      <c r="O16" s="7"/>
      <c r="P16" s="7"/>
      <c r="Q16" s="7"/>
      <c r="R16" s="7"/>
      <c r="S16" s="7"/>
      <c r="T16" s="7"/>
      <c r="U16" s="7"/>
      <c r="V16" s="8"/>
      <c r="W16" s="8"/>
      <c r="X16" s="8"/>
      <c r="Y16" s="8"/>
      <c r="Z16" s="8"/>
      <c r="AA16" s="8"/>
      <c r="AB16" s="8"/>
      <c r="AC16" s="21" t="s">
        <v>36</v>
      </c>
      <c r="AD16" s="8"/>
    </row>
    <row r="17" spans="1:30" ht="15.5" customHeight="1" x14ac:dyDescent="0.2">
      <c r="A17" s="13" t="s">
        <v>37</v>
      </c>
      <c r="B17" s="33">
        <f t="shared" ref="B17:M17" si="5">(B16)-(0)</f>
        <v>869579.52500000002</v>
      </c>
      <c r="C17" s="33">
        <f t="shared" si="5"/>
        <v>855422.01500000001</v>
      </c>
      <c r="D17" s="33">
        <f t="shared" si="5"/>
        <v>843767.65</v>
      </c>
      <c r="E17" s="33">
        <f t="shared" si="5"/>
        <v>853327.17499999993</v>
      </c>
      <c r="F17" s="33">
        <f t="shared" si="5"/>
        <v>842811.30999999994</v>
      </c>
      <c r="G17" s="33">
        <f t="shared" si="5"/>
        <v>854273.41399999999</v>
      </c>
      <c r="H17" s="33">
        <f t="shared" si="5"/>
        <v>858291.03499999992</v>
      </c>
      <c r="I17" s="33">
        <f t="shared" si="5"/>
        <v>820164.34800000011</v>
      </c>
      <c r="J17" s="33">
        <f t="shared" si="5"/>
        <v>868422.01500000001</v>
      </c>
      <c r="K17" s="33">
        <f t="shared" si="5"/>
        <v>842264.83</v>
      </c>
      <c r="L17" s="33">
        <f t="shared" si="5"/>
        <v>857241.73499999999</v>
      </c>
      <c r="M17" s="33">
        <f t="shared" si="5"/>
        <v>841842.27</v>
      </c>
      <c r="N17" s="33">
        <f>N16</f>
        <v>10207407.322000001</v>
      </c>
      <c r="O17" s="7"/>
      <c r="P17" s="7"/>
      <c r="Q17" s="7"/>
      <c r="R17" s="7"/>
      <c r="S17" s="7"/>
      <c r="T17" s="7"/>
      <c r="U17" s="7"/>
      <c r="V17" s="8"/>
      <c r="W17" s="8"/>
      <c r="X17" s="8"/>
      <c r="Y17" s="8"/>
      <c r="Z17" s="8"/>
      <c r="AA17" s="8"/>
      <c r="AB17" s="8"/>
      <c r="AC17" s="8"/>
      <c r="AD17" s="8"/>
    </row>
    <row r="18" spans="1:30" ht="15.5" customHeight="1" x14ac:dyDescent="0.2">
      <c r="A18" s="13" t="s">
        <v>38</v>
      </c>
      <c r="B18" s="57"/>
      <c r="C18" s="57"/>
      <c r="D18" s="57"/>
      <c r="E18" s="57"/>
      <c r="F18" s="57"/>
      <c r="G18" s="57"/>
      <c r="H18" s="57"/>
      <c r="I18" s="57"/>
      <c r="J18" s="57"/>
      <c r="K18" s="57"/>
      <c r="L18" s="57"/>
      <c r="M18" s="57"/>
      <c r="N18" s="40"/>
      <c r="O18" s="7"/>
      <c r="P18" s="7"/>
      <c r="Q18" s="7"/>
      <c r="R18" s="7"/>
      <c r="S18" s="7"/>
      <c r="T18" s="7"/>
      <c r="U18" s="7"/>
      <c r="V18" s="8"/>
      <c r="W18" s="8"/>
      <c r="X18" s="8"/>
      <c r="Y18" s="8"/>
      <c r="Z18" s="8"/>
      <c r="AA18" s="8"/>
      <c r="AB18" s="8"/>
      <c r="AC18" s="8"/>
      <c r="AD18" s="8"/>
    </row>
    <row r="19" spans="1:30" ht="15.5" customHeight="1" x14ac:dyDescent="0.2">
      <c r="A19" s="22" t="s">
        <v>39</v>
      </c>
      <c r="B19" s="23"/>
      <c r="C19" s="23"/>
      <c r="D19" s="23"/>
      <c r="E19" s="23"/>
      <c r="F19" s="23"/>
      <c r="G19" s="23"/>
      <c r="H19" s="23"/>
      <c r="I19" s="23"/>
      <c r="J19" s="23"/>
      <c r="K19" s="23"/>
      <c r="L19" s="23"/>
      <c r="M19" s="23"/>
      <c r="N19" s="24">
        <f>SUM(B19:M19)</f>
        <v>0</v>
      </c>
      <c r="O19" s="25" t="s">
        <v>15</v>
      </c>
      <c r="P19" s="7"/>
      <c r="Q19" s="7"/>
      <c r="R19" s="7"/>
      <c r="S19" s="7"/>
      <c r="T19" s="7"/>
      <c r="U19" s="7"/>
      <c r="V19" s="8"/>
      <c r="W19" s="8"/>
      <c r="X19" s="8"/>
      <c r="Y19" s="8"/>
      <c r="Z19" s="8"/>
      <c r="AA19" s="8"/>
      <c r="AB19" s="8"/>
      <c r="AC19" s="8"/>
      <c r="AD19" s="8"/>
    </row>
    <row r="20" spans="1:30" ht="15.5" customHeight="1" x14ac:dyDescent="0.2">
      <c r="A20" s="22" t="s">
        <v>40</v>
      </c>
      <c r="B20" s="58">
        <v>2100</v>
      </c>
      <c r="C20" s="58">
        <v>2100</v>
      </c>
      <c r="D20" s="58">
        <v>2100</v>
      </c>
      <c r="E20" s="58">
        <v>2100</v>
      </c>
      <c r="F20" s="58">
        <v>2100</v>
      </c>
      <c r="G20" s="58">
        <v>2100</v>
      </c>
      <c r="H20" s="58">
        <v>2100</v>
      </c>
      <c r="I20" s="58">
        <v>2100</v>
      </c>
      <c r="J20" s="58">
        <v>2100</v>
      </c>
      <c r="K20" s="58">
        <v>2100</v>
      </c>
      <c r="L20" s="58">
        <v>2100</v>
      </c>
      <c r="M20" s="58">
        <v>2100</v>
      </c>
      <c r="N20" s="24">
        <f>SUM(B20:M20)</f>
        <v>25200</v>
      </c>
      <c r="O20" s="25" t="s">
        <v>15</v>
      </c>
      <c r="P20" s="7"/>
      <c r="Q20" s="7"/>
      <c r="R20" s="7"/>
      <c r="S20" s="7"/>
      <c r="T20" s="7"/>
      <c r="U20" s="7"/>
      <c r="V20" s="8"/>
      <c r="W20" s="8"/>
      <c r="X20" s="8"/>
      <c r="Y20" s="8"/>
      <c r="Z20" s="8"/>
      <c r="AA20" s="8"/>
      <c r="AB20" s="8"/>
      <c r="AC20" s="8"/>
      <c r="AD20" s="8"/>
    </row>
    <row r="21" spans="1:30" ht="15.5" customHeight="1" x14ac:dyDescent="0.2">
      <c r="A21" s="22" t="s">
        <v>41</v>
      </c>
      <c r="B21" s="58">
        <v>100</v>
      </c>
      <c r="C21" s="23">
        <v>100</v>
      </c>
      <c r="D21" s="23">
        <v>100</v>
      </c>
      <c r="E21" s="23">
        <v>100</v>
      </c>
      <c r="F21" s="23">
        <v>100</v>
      </c>
      <c r="G21" s="23">
        <v>100</v>
      </c>
      <c r="H21" s="58">
        <v>100</v>
      </c>
      <c r="I21" s="23">
        <v>100</v>
      </c>
      <c r="J21" s="23">
        <v>100</v>
      </c>
      <c r="K21" s="23">
        <v>100</v>
      </c>
      <c r="L21" s="23">
        <v>100</v>
      </c>
      <c r="M21" s="23">
        <v>100</v>
      </c>
      <c r="N21" s="24">
        <f>SUM(B21:M21)</f>
        <v>1200</v>
      </c>
      <c r="O21" s="25" t="s">
        <v>15</v>
      </c>
      <c r="P21" s="7"/>
      <c r="Q21" s="7"/>
      <c r="R21" s="7"/>
      <c r="S21" s="7"/>
      <c r="T21" s="7"/>
      <c r="U21" s="7"/>
      <c r="V21" s="8"/>
      <c r="W21" s="8"/>
      <c r="X21" s="8"/>
      <c r="Y21" s="8"/>
      <c r="Z21" s="8"/>
      <c r="AA21" s="8"/>
      <c r="AB21" s="8"/>
      <c r="AC21" s="8"/>
      <c r="AD21" s="8"/>
    </row>
    <row r="22" spans="1:30" ht="15.5" customHeight="1" x14ac:dyDescent="0.2">
      <c r="A22" s="22" t="s">
        <v>42</v>
      </c>
      <c r="B22" s="58">
        <v>11000</v>
      </c>
      <c r="C22" s="58">
        <v>11000</v>
      </c>
      <c r="D22" s="58">
        <v>11000</v>
      </c>
      <c r="E22" s="58">
        <v>11000</v>
      </c>
      <c r="F22" s="58">
        <v>11000</v>
      </c>
      <c r="G22" s="58">
        <v>11000</v>
      </c>
      <c r="H22" s="58">
        <v>11000</v>
      </c>
      <c r="I22" s="58">
        <v>11000</v>
      </c>
      <c r="J22" s="58">
        <v>11000</v>
      </c>
      <c r="K22" s="58">
        <v>11000</v>
      </c>
      <c r="L22" s="58">
        <v>11000</v>
      </c>
      <c r="M22" s="58">
        <v>11000</v>
      </c>
      <c r="N22" s="24">
        <f>SUM(B22:M22)</f>
        <v>132000</v>
      </c>
      <c r="O22" s="25" t="s">
        <v>15</v>
      </c>
      <c r="P22" s="7"/>
      <c r="Q22" s="7"/>
      <c r="R22" s="7"/>
      <c r="S22" s="7"/>
      <c r="T22" s="7"/>
      <c r="U22" s="7"/>
      <c r="V22" s="8"/>
      <c r="W22" s="8"/>
      <c r="X22" s="8"/>
      <c r="Y22" s="8"/>
      <c r="Z22" s="8"/>
      <c r="AA22" s="8"/>
      <c r="AB22" s="8"/>
      <c r="AC22" s="8"/>
      <c r="AD22" s="8"/>
    </row>
    <row r="23" spans="1:30" ht="15.5" customHeight="1" x14ac:dyDescent="0.2">
      <c r="A23" s="13" t="s">
        <v>43</v>
      </c>
      <c r="B23" s="59"/>
      <c r="C23" s="59"/>
      <c r="D23" s="59"/>
      <c r="E23" s="59"/>
      <c r="F23" s="59"/>
      <c r="G23" s="59"/>
      <c r="H23" s="59"/>
      <c r="I23" s="59"/>
      <c r="J23" s="59"/>
      <c r="K23" s="59"/>
      <c r="L23" s="59"/>
      <c r="M23" s="59"/>
      <c r="N23" s="60"/>
      <c r="O23" s="7"/>
      <c r="P23" s="7"/>
      <c r="Q23" s="7"/>
      <c r="R23" s="7"/>
      <c r="S23" s="7"/>
      <c r="T23" s="7"/>
      <c r="U23" s="7"/>
      <c r="V23" s="8"/>
      <c r="W23" s="8"/>
      <c r="X23" s="8"/>
      <c r="Y23" s="8"/>
      <c r="Z23" s="8"/>
      <c r="AA23" s="8"/>
      <c r="AB23" s="8"/>
      <c r="AC23" s="8"/>
      <c r="AD23" s="8"/>
    </row>
    <row r="24" spans="1:30" ht="15.5" customHeight="1" x14ac:dyDescent="0.2">
      <c r="A24" s="13" t="s">
        <v>44</v>
      </c>
      <c r="B24" s="40">
        <v>0</v>
      </c>
      <c r="C24" s="40">
        <v>0</v>
      </c>
      <c r="D24" s="40">
        <v>0</v>
      </c>
      <c r="E24" s="40">
        <v>0</v>
      </c>
      <c r="F24" s="40">
        <v>0</v>
      </c>
      <c r="G24" s="40">
        <v>0</v>
      </c>
      <c r="H24" s="40">
        <v>0</v>
      </c>
      <c r="I24" s="40">
        <v>0</v>
      </c>
      <c r="J24" s="40">
        <v>0</v>
      </c>
      <c r="K24" s="40">
        <v>0</v>
      </c>
      <c r="L24" s="40">
        <v>0</v>
      </c>
      <c r="M24" s="40">
        <v>0</v>
      </c>
      <c r="N24" s="60">
        <f t="shared" ref="N24:N29" si="6">SUM(B24:M24)</f>
        <v>0</v>
      </c>
      <c r="O24" s="7"/>
      <c r="P24" s="7"/>
      <c r="Q24" s="7"/>
      <c r="R24" s="7"/>
      <c r="S24" s="7"/>
      <c r="T24" s="7"/>
      <c r="U24" s="7"/>
      <c r="V24" s="8"/>
      <c r="W24" s="8"/>
      <c r="X24" s="8"/>
      <c r="Y24" s="8"/>
      <c r="Z24" s="8"/>
      <c r="AA24" s="8"/>
      <c r="AB24" s="8"/>
      <c r="AC24" s="8"/>
      <c r="AD24" s="8"/>
    </row>
    <row r="25" spans="1:30" ht="15.5" customHeight="1" x14ac:dyDescent="0.2">
      <c r="A25" s="13" t="s">
        <v>45</v>
      </c>
      <c r="B25" s="40">
        <v>0</v>
      </c>
      <c r="C25" s="40">
        <v>0</v>
      </c>
      <c r="D25" s="40">
        <v>0</v>
      </c>
      <c r="E25" s="40">
        <v>0</v>
      </c>
      <c r="F25" s="40">
        <v>0</v>
      </c>
      <c r="G25" s="40">
        <v>0</v>
      </c>
      <c r="H25" s="40">
        <v>0</v>
      </c>
      <c r="I25" s="40">
        <v>0</v>
      </c>
      <c r="J25" s="40">
        <v>0</v>
      </c>
      <c r="K25" s="40">
        <v>0</v>
      </c>
      <c r="L25" s="40">
        <v>0</v>
      </c>
      <c r="M25" s="40">
        <v>0</v>
      </c>
      <c r="N25" s="60">
        <f t="shared" si="6"/>
        <v>0</v>
      </c>
      <c r="O25" s="7"/>
      <c r="P25" s="7"/>
      <c r="Q25" s="7"/>
      <c r="R25" s="7"/>
      <c r="S25" s="7"/>
      <c r="T25" s="7"/>
      <c r="U25" s="7"/>
      <c r="V25" s="8"/>
      <c r="W25" s="8"/>
      <c r="X25" s="8"/>
      <c r="Y25" s="8"/>
      <c r="Z25" s="8"/>
      <c r="AA25" s="8"/>
      <c r="AB25" s="8"/>
      <c r="AC25" s="8"/>
      <c r="AD25" s="8"/>
    </row>
    <row r="26" spans="1:30" ht="15.5" customHeight="1" x14ac:dyDescent="0.2">
      <c r="A26" s="13" t="s">
        <v>46</v>
      </c>
      <c r="B26" s="40">
        <v>0</v>
      </c>
      <c r="C26" s="40">
        <v>0</v>
      </c>
      <c r="D26" s="40">
        <v>0</v>
      </c>
      <c r="E26" s="40">
        <v>0</v>
      </c>
      <c r="F26" s="40">
        <v>0</v>
      </c>
      <c r="G26" s="40">
        <v>0</v>
      </c>
      <c r="H26" s="40">
        <v>0</v>
      </c>
      <c r="I26" s="40">
        <v>0</v>
      </c>
      <c r="J26" s="40">
        <v>0</v>
      </c>
      <c r="K26" s="40">
        <v>0</v>
      </c>
      <c r="L26" s="40">
        <v>0</v>
      </c>
      <c r="M26" s="40">
        <v>0</v>
      </c>
      <c r="N26" s="60">
        <f t="shared" si="6"/>
        <v>0</v>
      </c>
      <c r="O26" s="7"/>
      <c r="P26" s="7"/>
      <c r="Q26" s="7"/>
      <c r="R26" s="7"/>
      <c r="S26" s="7"/>
      <c r="T26" s="7"/>
      <c r="U26" s="7"/>
      <c r="V26" s="8"/>
      <c r="W26" s="8"/>
      <c r="X26" s="8"/>
      <c r="Y26" s="8"/>
      <c r="Z26" s="8"/>
      <c r="AA26" s="8"/>
      <c r="AB26" s="8"/>
      <c r="AC26" s="8"/>
      <c r="AD26" s="8"/>
    </row>
    <row r="27" spans="1:30" ht="15.5" customHeight="1" x14ac:dyDescent="0.2">
      <c r="A27" s="13" t="s">
        <v>47</v>
      </c>
      <c r="B27" s="40">
        <v>0</v>
      </c>
      <c r="C27" s="40">
        <v>0</v>
      </c>
      <c r="D27" s="40">
        <v>0</v>
      </c>
      <c r="E27" s="40">
        <v>0</v>
      </c>
      <c r="F27" s="40">
        <v>0</v>
      </c>
      <c r="G27" s="40">
        <v>0</v>
      </c>
      <c r="H27" s="40">
        <v>0</v>
      </c>
      <c r="I27" s="40">
        <v>0</v>
      </c>
      <c r="J27" s="40">
        <v>0</v>
      </c>
      <c r="K27" s="40">
        <v>0</v>
      </c>
      <c r="L27" s="40">
        <v>0</v>
      </c>
      <c r="M27" s="40">
        <v>0</v>
      </c>
      <c r="N27" s="60">
        <f t="shared" si="6"/>
        <v>0</v>
      </c>
      <c r="O27" s="7"/>
      <c r="P27" s="7"/>
      <c r="Q27" s="7"/>
      <c r="R27" s="7"/>
      <c r="S27" s="7"/>
      <c r="T27" s="7"/>
      <c r="U27" s="7"/>
      <c r="V27" s="8"/>
      <c r="W27" s="8"/>
      <c r="X27" s="8"/>
      <c r="Y27" s="8"/>
      <c r="Z27" s="8"/>
      <c r="AA27" s="8"/>
      <c r="AB27" s="8"/>
      <c r="AC27" s="8"/>
      <c r="AD27" s="8"/>
    </row>
    <row r="28" spans="1:30" ht="15.5" customHeight="1" x14ac:dyDescent="0.2">
      <c r="A28" s="13" t="s">
        <v>48</v>
      </c>
      <c r="B28" s="40">
        <v>0</v>
      </c>
      <c r="C28" s="40">
        <v>0</v>
      </c>
      <c r="D28" s="40">
        <v>0</v>
      </c>
      <c r="E28" s="40">
        <v>0</v>
      </c>
      <c r="F28" s="40">
        <v>0</v>
      </c>
      <c r="G28" s="40">
        <v>0</v>
      </c>
      <c r="H28" s="40">
        <v>0</v>
      </c>
      <c r="I28" s="40">
        <v>0</v>
      </c>
      <c r="J28" s="40">
        <v>0</v>
      </c>
      <c r="K28" s="40">
        <v>0</v>
      </c>
      <c r="L28" s="40">
        <v>0</v>
      </c>
      <c r="M28" s="40">
        <v>0</v>
      </c>
      <c r="N28" s="60">
        <f t="shared" si="6"/>
        <v>0</v>
      </c>
      <c r="O28" s="7"/>
      <c r="P28" s="7"/>
      <c r="Q28" s="7"/>
      <c r="R28" s="7"/>
      <c r="S28" s="7"/>
      <c r="T28" s="7"/>
      <c r="U28" s="7"/>
      <c r="V28" s="8"/>
      <c r="W28" s="8"/>
      <c r="X28" s="8"/>
      <c r="Y28" s="8"/>
      <c r="Z28" s="8"/>
      <c r="AA28" s="8"/>
      <c r="AB28" s="8"/>
      <c r="AC28" s="8"/>
      <c r="AD28" s="8"/>
    </row>
    <row r="29" spans="1:30" ht="15.5" customHeight="1" x14ac:dyDescent="0.2">
      <c r="A29" s="13" t="s">
        <v>49</v>
      </c>
      <c r="B29" s="52">
        <v>0</v>
      </c>
      <c r="C29" s="52">
        <v>0</v>
      </c>
      <c r="D29" s="52">
        <v>0</v>
      </c>
      <c r="E29" s="52">
        <v>0</v>
      </c>
      <c r="F29" s="52">
        <v>0</v>
      </c>
      <c r="G29" s="52">
        <v>0</v>
      </c>
      <c r="H29" s="52">
        <v>0</v>
      </c>
      <c r="I29" s="52">
        <v>0</v>
      </c>
      <c r="J29" s="52">
        <v>0</v>
      </c>
      <c r="K29" s="52">
        <v>0</v>
      </c>
      <c r="L29" s="52">
        <v>0</v>
      </c>
      <c r="M29" s="52">
        <v>0</v>
      </c>
      <c r="N29" s="61">
        <f t="shared" si="6"/>
        <v>0</v>
      </c>
      <c r="O29" s="7"/>
      <c r="P29" s="7"/>
      <c r="Q29" s="7"/>
      <c r="R29" s="7"/>
      <c r="S29" s="7"/>
      <c r="T29" s="7"/>
      <c r="U29" s="7"/>
      <c r="V29" s="8"/>
      <c r="W29" s="8"/>
      <c r="X29" s="8"/>
      <c r="Y29" s="8"/>
      <c r="Z29" s="8"/>
      <c r="AA29" s="8"/>
      <c r="AB29" s="8"/>
      <c r="AC29" s="8"/>
      <c r="AD29" s="8"/>
    </row>
    <row r="30" spans="1:30" ht="15.5" customHeight="1" x14ac:dyDescent="0.2">
      <c r="A30" s="32" t="s">
        <v>50</v>
      </c>
      <c r="B30" s="33">
        <f t="shared" ref="B30:N30" si="7">((((((B23)+(B24))+(B25))+(B26))+(B27))+(B28))+(B29)</f>
        <v>0</v>
      </c>
      <c r="C30" s="33">
        <f t="shared" si="7"/>
        <v>0</v>
      </c>
      <c r="D30" s="33">
        <f t="shared" si="7"/>
        <v>0</v>
      </c>
      <c r="E30" s="33">
        <f t="shared" si="7"/>
        <v>0</v>
      </c>
      <c r="F30" s="33">
        <f t="shared" si="7"/>
        <v>0</v>
      </c>
      <c r="G30" s="33">
        <f t="shared" si="7"/>
        <v>0</v>
      </c>
      <c r="H30" s="33">
        <f t="shared" si="7"/>
        <v>0</v>
      </c>
      <c r="I30" s="33">
        <f t="shared" si="7"/>
        <v>0</v>
      </c>
      <c r="J30" s="33">
        <f t="shared" si="7"/>
        <v>0</v>
      </c>
      <c r="K30" s="33">
        <f t="shared" si="7"/>
        <v>0</v>
      </c>
      <c r="L30" s="33">
        <f t="shared" si="7"/>
        <v>0</v>
      </c>
      <c r="M30" s="33">
        <f t="shared" si="7"/>
        <v>0</v>
      </c>
      <c r="N30" s="34">
        <f t="shared" si="7"/>
        <v>0</v>
      </c>
      <c r="O30" s="7"/>
      <c r="P30" s="7"/>
      <c r="Q30" s="7"/>
      <c r="R30" s="7"/>
      <c r="S30" s="7"/>
      <c r="T30" s="7"/>
      <c r="U30" s="7"/>
      <c r="V30" s="8"/>
      <c r="W30" s="8"/>
      <c r="X30" s="8"/>
      <c r="Y30" s="8"/>
      <c r="Z30" s="8"/>
      <c r="AA30" s="8"/>
      <c r="AB30" s="8"/>
      <c r="AC30" s="8"/>
      <c r="AD30" s="8"/>
    </row>
    <row r="31" spans="1:30" ht="15.5" customHeight="1" x14ac:dyDescent="0.2">
      <c r="A31" s="46" t="s">
        <v>51</v>
      </c>
      <c r="B31" s="39">
        <f>ROUND(VLOOKUP(A31,'Forecast on Yearly Trend'!$A$7:$B$110,2,FALSE)/12,2)</f>
        <v>0</v>
      </c>
      <c r="C31" s="40">
        <f t="shared" ref="C31:L31" si="8">B31</f>
        <v>0</v>
      </c>
      <c r="D31" s="40">
        <f t="shared" si="8"/>
        <v>0</v>
      </c>
      <c r="E31" s="40">
        <f t="shared" si="8"/>
        <v>0</v>
      </c>
      <c r="F31" s="40">
        <f t="shared" si="8"/>
        <v>0</v>
      </c>
      <c r="G31" s="40">
        <f t="shared" si="8"/>
        <v>0</v>
      </c>
      <c r="H31" s="40">
        <f t="shared" si="8"/>
        <v>0</v>
      </c>
      <c r="I31" s="40">
        <f t="shared" si="8"/>
        <v>0</v>
      </c>
      <c r="J31" s="40">
        <f t="shared" si="8"/>
        <v>0</v>
      </c>
      <c r="K31" s="40">
        <f t="shared" si="8"/>
        <v>0</v>
      </c>
      <c r="L31" s="40">
        <f t="shared" si="8"/>
        <v>0</v>
      </c>
      <c r="M31" s="41">
        <f>VLOOKUP(A31,'Forecast on Yearly Trend'!$A$7:$B$110,2,FALSE)-SUM(B31:L31)</f>
        <v>0</v>
      </c>
      <c r="N31" s="47">
        <f>SUM(B31:M31)</f>
        <v>0</v>
      </c>
      <c r="O31" s="7"/>
      <c r="P31" s="40"/>
      <c r="Q31" s="40"/>
      <c r="R31" s="7"/>
      <c r="S31" s="7"/>
      <c r="T31" s="7"/>
      <c r="U31" s="7"/>
      <c r="V31" s="8"/>
      <c r="W31" s="8"/>
      <c r="X31" s="8"/>
      <c r="Y31" s="8"/>
      <c r="Z31" s="8"/>
      <c r="AA31" s="8"/>
      <c r="AB31" s="8"/>
      <c r="AC31" s="8"/>
      <c r="AD31" s="8"/>
    </row>
    <row r="32" spans="1:30" ht="15.5" customHeight="1" x14ac:dyDescent="0.2">
      <c r="A32" s="46" t="s">
        <v>52</v>
      </c>
      <c r="B32" s="39">
        <f>ROUND(VLOOKUP(A32,'Forecast on Yearly Trend'!$A$7:$B$110,2,FALSE)/12,2)</f>
        <v>1283.33</v>
      </c>
      <c r="C32" s="40">
        <f t="shared" ref="C32:L32" si="9">B32</f>
        <v>1283.33</v>
      </c>
      <c r="D32" s="40">
        <f t="shared" si="9"/>
        <v>1283.33</v>
      </c>
      <c r="E32" s="40">
        <f t="shared" si="9"/>
        <v>1283.33</v>
      </c>
      <c r="F32" s="40">
        <f t="shared" si="9"/>
        <v>1283.33</v>
      </c>
      <c r="G32" s="40">
        <f t="shared" si="9"/>
        <v>1283.33</v>
      </c>
      <c r="H32" s="40">
        <f t="shared" si="9"/>
        <v>1283.33</v>
      </c>
      <c r="I32" s="40">
        <f t="shared" si="9"/>
        <v>1283.33</v>
      </c>
      <c r="J32" s="40">
        <f t="shared" si="9"/>
        <v>1283.33</v>
      </c>
      <c r="K32" s="40">
        <f t="shared" si="9"/>
        <v>1283.33</v>
      </c>
      <c r="L32" s="40">
        <f t="shared" si="9"/>
        <v>1283.33</v>
      </c>
      <c r="M32" s="41">
        <f>VLOOKUP(A32,'Forecast on Yearly Trend'!$A$7:$B$110,2,FALSE)-SUM(B32:L32)</f>
        <v>1283.3700000000008</v>
      </c>
      <c r="N32" s="47">
        <f>SUM(B32:M32)</f>
        <v>15400</v>
      </c>
      <c r="O32" s="50"/>
      <c r="P32" s="40"/>
      <c r="Q32" s="40"/>
      <c r="R32" s="7"/>
      <c r="S32" s="7"/>
      <c r="T32" s="7"/>
      <c r="U32" s="7"/>
      <c r="V32" s="8"/>
      <c r="W32" s="8"/>
      <c r="X32" s="8"/>
      <c r="Y32" s="8"/>
      <c r="Z32" s="8"/>
      <c r="AA32" s="8"/>
      <c r="AB32" s="8"/>
      <c r="AC32" s="8"/>
      <c r="AD32" s="8"/>
    </row>
    <row r="33" spans="1:30" ht="15.5" customHeight="1" x14ac:dyDescent="0.2">
      <c r="A33" s="46" t="s">
        <v>53</v>
      </c>
      <c r="B33" s="39">
        <f>ROUND(VLOOKUP(A33,'Forecast on Yearly Trend'!$A$7:$B$110,2,FALSE)/12,2)</f>
        <v>1666.67</v>
      </c>
      <c r="C33" s="52">
        <f t="shared" ref="C33:L33" si="10">B33</f>
        <v>1666.67</v>
      </c>
      <c r="D33" s="52">
        <f t="shared" si="10"/>
        <v>1666.67</v>
      </c>
      <c r="E33" s="52">
        <f t="shared" si="10"/>
        <v>1666.67</v>
      </c>
      <c r="F33" s="52">
        <f t="shared" si="10"/>
        <v>1666.67</v>
      </c>
      <c r="G33" s="52">
        <f t="shared" si="10"/>
        <v>1666.67</v>
      </c>
      <c r="H33" s="52">
        <f t="shared" si="10"/>
        <v>1666.67</v>
      </c>
      <c r="I33" s="52">
        <f t="shared" si="10"/>
        <v>1666.67</v>
      </c>
      <c r="J33" s="52">
        <f t="shared" si="10"/>
        <v>1666.67</v>
      </c>
      <c r="K33" s="52">
        <f t="shared" si="10"/>
        <v>1666.67</v>
      </c>
      <c r="L33" s="52">
        <f t="shared" si="10"/>
        <v>1666.67</v>
      </c>
      <c r="M33" s="53">
        <f>VLOOKUP(A33,'Forecast on Yearly Trend'!$A$7:$B$110,2,FALSE)-SUM(B33:L33)</f>
        <v>1666.6299999999974</v>
      </c>
      <c r="N33" s="54">
        <f>SUM(B33:M33)</f>
        <v>20000</v>
      </c>
      <c r="O33" s="50"/>
      <c r="P33" s="40"/>
      <c r="Q33" s="40"/>
      <c r="R33" s="7"/>
      <c r="S33" s="7"/>
      <c r="T33" s="7"/>
      <c r="U33" s="7"/>
      <c r="V33" s="8"/>
      <c r="W33" s="8"/>
      <c r="X33" s="8"/>
      <c r="Y33" s="8"/>
      <c r="Z33" s="8"/>
      <c r="AA33" s="8"/>
      <c r="AB33" s="8"/>
      <c r="AC33" s="8"/>
      <c r="AD33" s="8"/>
    </row>
    <row r="34" spans="1:30" ht="15.5" customHeight="1" x14ac:dyDescent="0.2">
      <c r="A34" s="55" t="s">
        <v>54</v>
      </c>
      <c r="B34" s="56">
        <f t="shared" ref="B34:N34" si="11">((B31)+(B32))+(B33)</f>
        <v>2950</v>
      </c>
      <c r="C34" s="56">
        <f t="shared" si="11"/>
        <v>2950</v>
      </c>
      <c r="D34" s="56">
        <f t="shared" si="11"/>
        <v>2950</v>
      </c>
      <c r="E34" s="56">
        <f t="shared" si="11"/>
        <v>2950</v>
      </c>
      <c r="F34" s="56">
        <f t="shared" si="11"/>
        <v>2950</v>
      </c>
      <c r="G34" s="56">
        <f t="shared" si="11"/>
        <v>2950</v>
      </c>
      <c r="H34" s="56">
        <f t="shared" si="11"/>
        <v>2950</v>
      </c>
      <c r="I34" s="56">
        <f t="shared" si="11"/>
        <v>2950</v>
      </c>
      <c r="J34" s="56">
        <f t="shared" si="11"/>
        <v>2950</v>
      </c>
      <c r="K34" s="56">
        <f t="shared" si="11"/>
        <v>2950</v>
      </c>
      <c r="L34" s="56">
        <f t="shared" si="11"/>
        <v>2950</v>
      </c>
      <c r="M34" s="56">
        <f t="shared" si="11"/>
        <v>2949.9999999999982</v>
      </c>
      <c r="N34" s="56">
        <f t="shared" si="11"/>
        <v>35400</v>
      </c>
      <c r="O34" s="7"/>
      <c r="P34" s="7"/>
      <c r="Q34" s="7"/>
      <c r="R34" s="7"/>
      <c r="S34" s="7"/>
      <c r="T34" s="7"/>
      <c r="U34" s="7"/>
      <c r="V34" s="8"/>
      <c r="W34" s="8"/>
      <c r="X34" s="8"/>
      <c r="Y34" s="8"/>
      <c r="Z34" s="8"/>
      <c r="AA34" s="8"/>
      <c r="AB34" s="8"/>
      <c r="AC34" s="8"/>
      <c r="AD34" s="8"/>
    </row>
    <row r="35" spans="1:30" ht="15.5" customHeight="1" x14ac:dyDescent="0.2">
      <c r="A35" s="13" t="s">
        <v>55</v>
      </c>
      <c r="B35" s="33">
        <f t="shared" ref="B35:N35" si="12">(((((B19)+(B20))+(B21))+(B22))+(B30))+(B34)</f>
        <v>16150</v>
      </c>
      <c r="C35" s="33">
        <f t="shared" si="12"/>
        <v>16150</v>
      </c>
      <c r="D35" s="33">
        <f t="shared" si="12"/>
        <v>16150</v>
      </c>
      <c r="E35" s="33">
        <f t="shared" si="12"/>
        <v>16150</v>
      </c>
      <c r="F35" s="33">
        <f t="shared" si="12"/>
        <v>16150</v>
      </c>
      <c r="G35" s="33">
        <f t="shared" si="12"/>
        <v>16150</v>
      </c>
      <c r="H35" s="33">
        <f t="shared" si="12"/>
        <v>16150</v>
      </c>
      <c r="I35" s="33">
        <f t="shared" si="12"/>
        <v>16150</v>
      </c>
      <c r="J35" s="33">
        <f t="shared" si="12"/>
        <v>16150</v>
      </c>
      <c r="K35" s="33">
        <f t="shared" si="12"/>
        <v>16150</v>
      </c>
      <c r="L35" s="33">
        <f t="shared" si="12"/>
        <v>16150</v>
      </c>
      <c r="M35" s="33">
        <f t="shared" si="12"/>
        <v>16149.999999999998</v>
      </c>
      <c r="N35" s="33">
        <f t="shared" si="12"/>
        <v>193800</v>
      </c>
      <c r="O35" s="7"/>
      <c r="P35" s="7"/>
      <c r="Q35" s="7"/>
      <c r="R35" s="7"/>
      <c r="S35" s="7"/>
      <c r="T35" s="7"/>
      <c r="U35" s="7"/>
      <c r="V35" s="8"/>
      <c r="W35" s="8"/>
      <c r="X35" s="8"/>
      <c r="Y35" s="8"/>
      <c r="Z35" s="8"/>
      <c r="AA35" s="8"/>
      <c r="AB35" s="8"/>
      <c r="AC35" s="8"/>
      <c r="AD35" s="8"/>
    </row>
    <row r="36" spans="1:30" ht="15.5" customHeight="1" x14ac:dyDescent="0.2">
      <c r="A36" s="32" t="s">
        <v>56</v>
      </c>
      <c r="B36" s="62"/>
      <c r="C36" s="62"/>
      <c r="D36" s="62"/>
      <c r="E36" s="62"/>
      <c r="F36" s="62"/>
      <c r="G36" s="62"/>
      <c r="H36" s="62"/>
      <c r="I36" s="62"/>
      <c r="J36" s="62"/>
      <c r="K36" s="62"/>
      <c r="L36" s="62"/>
      <c r="M36" s="62"/>
      <c r="N36" s="63"/>
      <c r="O36" s="7"/>
      <c r="P36" s="7"/>
      <c r="Q36" s="7"/>
      <c r="R36" s="7"/>
      <c r="S36" s="7"/>
      <c r="T36" s="7"/>
      <c r="U36" s="7"/>
      <c r="V36" s="8"/>
      <c r="W36" s="8"/>
      <c r="X36" s="8"/>
      <c r="Y36" s="8"/>
      <c r="Z36" s="8"/>
      <c r="AA36" s="8"/>
      <c r="AB36" s="8"/>
      <c r="AC36" s="8"/>
      <c r="AD36" s="8"/>
    </row>
    <row r="37" spans="1:30" ht="15.5" customHeight="1" x14ac:dyDescent="0.2">
      <c r="A37" s="254" t="s">
        <v>57</v>
      </c>
      <c r="B37" s="39">
        <f>+Calculators!B47</f>
        <v>523453.19062500005</v>
      </c>
      <c r="C37" s="39">
        <f>+Calculators!C47</f>
        <v>523909.28437500005</v>
      </c>
      <c r="D37" s="39">
        <f>+Calculators!D47</f>
        <v>523911.08750000002</v>
      </c>
      <c r="E37" s="39">
        <f>+Calculators!E47</f>
        <v>522825.15937500005</v>
      </c>
      <c r="F37" s="39">
        <f>+Calculators!F47</f>
        <v>518431.5</v>
      </c>
      <c r="G37" s="39">
        <f>+Calculators!G47</f>
        <v>513791.69500000007</v>
      </c>
      <c r="H37" s="39">
        <f>+Calculators!H47</f>
        <v>542509.02187499998</v>
      </c>
      <c r="I37" s="39">
        <f>+Calculators!I47</f>
        <v>524539.30875000008</v>
      </c>
      <c r="J37" s="39">
        <f>+Calculators!J47</f>
        <v>546046.109375</v>
      </c>
      <c r="K37" s="39">
        <f>+Calculators!K47</f>
        <v>535115.51</v>
      </c>
      <c r="L37" s="39">
        <f>+Calculators!L47</f>
        <v>541434.08187500003</v>
      </c>
      <c r="M37" s="39">
        <f>+Calculators!M47</f>
        <v>543358.4375</v>
      </c>
      <c r="N37" s="42">
        <f t="shared" ref="N37:N52" si="13">SUM(B37:M37)</f>
        <v>6359324.3862500004</v>
      </c>
      <c r="O37" s="7"/>
      <c r="P37" s="7"/>
      <c r="Q37" s="7"/>
      <c r="R37" s="7"/>
      <c r="S37" s="7"/>
      <c r="T37" s="7"/>
      <c r="U37" s="7"/>
      <c r="V37" s="8"/>
      <c r="W37" s="8"/>
      <c r="X37" s="8"/>
      <c r="Y37" s="8"/>
      <c r="Z37" s="8"/>
      <c r="AA37" s="8"/>
      <c r="AB37" s="8"/>
      <c r="AC37" s="8"/>
      <c r="AD37" s="8"/>
    </row>
    <row r="38" spans="1:30" ht="15.5" customHeight="1" x14ac:dyDescent="0.2">
      <c r="A38" s="64" t="s">
        <v>58</v>
      </c>
      <c r="B38" s="65">
        <f t="shared" ref="B38:M38" si="14">ROUND(B37*$R$8,2)</f>
        <v>21985.03</v>
      </c>
      <c r="C38" s="65">
        <f t="shared" si="14"/>
        <v>22004.19</v>
      </c>
      <c r="D38" s="65">
        <f t="shared" si="14"/>
        <v>22004.27</v>
      </c>
      <c r="E38" s="65">
        <f t="shared" si="14"/>
        <v>21958.66</v>
      </c>
      <c r="F38" s="65">
        <f t="shared" si="14"/>
        <v>21774.12</v>
      </c>
      <c r="G38" s="65">
        <f t="shared" si="14"/>
        <v>21579.25</v>
      </c>
      <c r="H38" s="65">
        <f t="shared" si="14"/>
        <v>22785.38</v>
      </c>
      <c r="I38" s="65">
        <f t="shared" si="14"/>
        <v>22030.65</v>
      </c>
      <c r="J38" s="65">
        <f t="shared" si="14"/>
        <v>22933.94</v>
      </c>
      <c r="K38" s="65">
        <f t="shared" si="14"/>
        <v>22474.85</v>
      </c>
      <c r="L38" s="65">
        <f t="shared" si="14"/>
        <v>22740.23</v>
      </c>
      <c r="M38" s="65">
        <f t="shared" si="14"/>
        <v>22821.05</v>
      </c>
      <c r="N38" s="66">
        <f t="shared" si="13"/>
        <v>267091.62000000005</v>
      </c>
      <c r="O38" s="67" t="s">
        <v>59</v>
      </c>
      <c r="P38" s="7"/>
      <c r="Q38" s="7"/>
      <c r="R38" s="7"/>
      <c r="S38" s="7"/>
      <c r="T38" s="7"/>
      <c r="U38" s="7"/>
      <c r="V38" s="8"/>
      <c r="W38" s="8"/>
      <c r="X38" s="8"/>
      <c r="Y38" s="8"/>
      <c r="Z38" s="8"/>
      <c r="AA38" s="8"/>
      <c r="AB38" s="8"/>
      <c r="AC38" s="8"/>
      <c r="AD38" s="8"/>
    </row>
    <row r="39" spans="1:30" ht="15.5" customHeight="1" x14ac:dyDescent="0.2">
      <c r="A39" s="46" t="s">
        <v>60</v>
      </c>
      <c r="B39" s="39">
        <f>ROUND(VLOOKUP(A39,'Forecast on Yearly Trend'!$A$7:$B$110,2,FALSE)/12,2)</f>
        <v>75000</v>
      </c>
      <c r="C39" s="40">
        <f t="shared" ref="C39:L39" si="15">B39</f>
        <v>75000</v>
      </c>
      <c r="D39" s="40">
        <f t="shared" si="15"/>
        <v>75000</v>
      </c>
      <c r="E39" s="40">
        <f t="shared" si="15"/>
        <v>75000</v>
      </c>
      <c r="F39" s="40">
        <f t="shared" si="15"/>
        <v>75000</v>
      </c>
      <c r="G39" s="40">
        <f t="shared" si="15"/>
        <v>75000</v>
      </c>
      <c r="H39" s="40">
        <f t="shared" si="15"/>
        <v>75000</v>
      </c>
      <c r="I39" s="40">
        <f t="shared" si="15"/>
        <v>75000</v>
      </c>
      <c r="J39" s="40">
        <f t="shared" si="15"/>
        <v>75000</v>
      </c>
      <c r="K39" s="40">
        <f t="shared" si="15"/>
        <v>75000</v>
      </c>
      <c r="L39" s="40">
        <f t="shared" si="15"/>
        <v>75000</v>
      </c>
      <c r="M39" s="41">
        <f>VLOOKUP(A39,'Forecast on Yearly Trend'!$A$7:$B$110,2,FALSE)-SUM(B39:L39)</f>
        <v>75000</v>
      </c>
      <c r="N39" s="47">
        <f t="shared" si="13"/>
        <v>900000</v>
      </c>
      <c r="O39" s="50"/>
      <c r="P39" s="40"/>
      <c r="Q39" s="40"/>
      <c r="R39" s="7"/>
      <c r="S39" s="7"/>
      <c r="T39" s="7"/>
      <c r="U39" s="7"/>
      <c r="V39" s="8"/>
      <c r="W39" s="8"/>
      <c r="X39" s="8"/>
      <c r="Y39" s="8"/>
      <c r="Z39" s="8"/>
      <c r="AA39" s="8"/>
      <c r="AB39" s="8"/>
      <c r="AC39" s="8"/>
      <c r="AD39" s="8"/>
    </row>
    <row r="40" spans="1:30" ht="15.5" customHeight="1" x14ac:dyDescent="0.2">
      <c r="A40" s="55" t="s">
        <v>61</v>
      </c>
      <c r="B40" s="68">
        <f t="shared" ref="B40:M40" si="16">ROUND(B37*$R$9,2)</f>
        <v>21985.03</v>
      </c>
      <c r="C40" s="68">
        <f t="shared" si="16"/>
        <v>22004.19</v>
      </c>
      <c r="D40" s="68">
        <f t="shared" si="16"/>
        <v>22004.27</v>
      </c>
      <c r="E40" s="68">
        <f t="shared" si="16"/>
        <v>21958.66</v>
      </c>
      <c r="F40" s="68">
        <f t="shared" si="16"/>
        <v>21774.12</v>
      </c>
      <c r="G40" s="68">
        <f t="shared" si="16"/>
        <v>21579.25</v>
      </c>
      <c r="H40" s="68">
        <f t="shared" si="16"/>
        <v>22785.38</v>
      </c>
      <c r="I40" s="68">
        <f t="shared" si="16"/>
        <v>22030.65</v>
      </c>
      <c r="J40" s="68">
        <f t="shared" si="16"/>
        <v>22933.94</v>
      </c>
      <c r="K40" s="68">
        <f t="shared" si="16"/>
        <v>22474.85</v>
      </c>
      <c r="L40" s="68">
        <f t="shared" si="16"/>
        <v>22740.23</v>
      </c>
      <c r="M40" s="68">
        <f t="shared" si="16"/>
        <v>22821.05</v>
      </c>
      <c r="N40" s="69">
        <f t="shared" si="13"/>
        <v>267091.62000000005</v>
      </c>
      <c r="O40" s="67" t="s">
        <v>62</v>
      </c>
      <c r="P40" s="7"/>
      <c r="Q40" s="7"/>
      <c r="R40" s="7"/>
      <c r="S40" s="7"/>
      <c r="T40" s="7"/>
      <c r="U40" s="7"/>
      <c r="V40" s="8"/>
      <c r="W40" s="8"/>
      <c r="X40" s="8"/>
      <c r="Y40" s="8"/>
      <c r="Z40" s="8"/>
      <c r="AA40" s="8"/>
      <c r="AB40" s="8"/>
      <c r="AC40" s="8"/>
      <c r="AD40" s="8"/>
    </row>
    <row r="41" spans="1:30" ht="15.5" customHeight="1" x14ac:dyDescent="0.2">
      <c r="A41" s="261" t="s">
        <v>63</v>
      </c>
      <c r="B41" s="23"/>
      <c r="C41" s="23"/>
      <c r="D41" s="58">
        <v>6250</v>
      </c>
      <c r="E41" s="23"/>
      <c r="F41" s="23"/>
      <c r="G41" s="58">
        <v>6250</v>
      </c>
      <c r="H41" s="23"/>
      <c r="I41" s="23"/>
      <c r="J41" s="58">
        <v>6250</v>
      </c>
      <c r="K41" s="23"/>
      <c r="L41" s="23"/>
      <c r="M41" s="58">
        <v>6250</v>
      </c>
      <c r="N41" s="24">
        <f t="shared" si="13"/>
        <v>25000</v>
      </c>
      <c r="O41" s="25" t="s">
        <v>15</v>
      </c>
      <c r="P41" s="7"/>
      <c r="Q41" s="7"/>
      <c r="R41" s="7"/>
      <c r="S41" s="7"/>
      <c r="T41" s="7"/>
      <c r="U41" s="7"/>
      <c r="V41" s="8"/>
      <c r="W41" s="8"/>
      <c r="X41" s="8"/>
      <c r="Y41" s="8"/>
      <c r="Z41" s="8"/>
      <c r="AA41" s="8"/>
      <c r="AB41" s="8"/>
      <c r="AC41" s="8"/>
      <c r="AD41" s="8"/>
    </row>
    <row r="42" spans="1:30" ht="15.5" customHeight="1" x14ac:dyDescent="0.2">
      <c r="A42" s="32" t="s">
        <v>64</v>
      </c>
      <c r="B42" s="70">
        <f t="shared" ref="B42:M42" si="17">ROUND(B37*$R$10,2)</f>
        <v>40567.620000000003</v>
      </c>
      <c r="C42" s="70">
        <f t="shared" si="17"/>
        <v>40602.97</v>
      </c>
      <c r="D42" s="70">
        <f t="shared" si="17"/>
        <v>40603.11</v>
      </c>
      <c r="E42" s="70">
        <f t="shared" si="17"/>
        <v>40518.949999999997</v>
      </c>
      <c r="F42" s="70">
        <f t="shared" si="17"/>
        <v>40178.44</v>
      </c>
      <c r="G42" s="70">
        <f t="shared" si="17"/>
        <v>39818.86</v>
      </c>
      <c r="H42" s="70">
        <f t="shared" si="17"/>
        <v>42044.45</v>
      </c>
      <c r="I42" s="70">
        <f t="shared" si="17"/>
        <v>40651.800000000003</v>
      </c>
      <c r="J42" s="70">
        <f t="shared" si="17"/>
        <v>42318.57</v>
      </c>
      <c r="K42" s="70">
        <f t="shared" si="17"/>
        <v>41471.449999999997</v>
      </c>
      <c r="L42" s="70">
        <f t="shared" si="17"/>
        <v>41961.14</v>
      </c>
      <c r="M42" s="70">
        <f t="shared" si="17"/>
        <v>42110.28</v>
      </c>
      <c r="N42" s="71">
        <f t="shared" si="13"/>
        <v>492847.64</v>
      </c>
      <c r="O42" s="67" t="s">
        <v>65</v>
      </c>
      <c r="P42" s="7"/>
      <c r="Q42" s="7"/>
      <c r="R42" s="7"/>
      <c r="S42" s="7"/>
      <c r="T42" s="7"/>
      <c r="U42" s="7"/>
      <c r="V42" s="8"/>
      <c r="W42" s="8"/>
      <c r="X42" s="8"/>
      <c r="Y42" s="8"/>
      <c r="Z42" s="8"/>
      <c r="AA42" s="8"/>
      <c r="AB42" s="8"/>
      <c r="AC42" s="8"/>
      <c r="AD42" s="8"/>
    </row>
    <row r="43" spans="1:30" ht="15.5" customHeight="1" x14ac:dyDescent="0.2">
      <c r="A43" s="46" t="s">
        <v>66</v>
      </c>
      <c r="B43" s="39">
        <f>ROUND(VLOOKUP(A43,'Forecast on Yearly Trend'!$A$7:$B$110,2,FALSE)/12,2)</f>
        <v>317.83</v>
      </c>
      <c r="C43" s="40">
        <f t="shared" ref="C43:L43" si="18">B43</f>
        <v>317.83</v>
      </c>
      <c r="D43" s="40">
        <f t="shared" si="18"/>
        <v>317.83</v>
      </c>
      <c r="E43" s="40">
        <f t="shared" si="18"/>
        <v>317.83</v>
      </c>
      <c r="F43" s="40">
        <f t="shared" si="18"/>
        <v>317.83</v>
      </c>
      <c r="G43" s="40">
        <f t="shared" si="18"/>
        <v>317.83</v>
      </c>
      <c r="H43" s="40">
        <f t="shared" si="18"/>
        <v>317.83</v>
      </c>
      <c r="I43" s="40">
        <f t="shared" si="18"/>
        <v>317.83</v>
      </c>
      <c r="J43" s="40">
        <f t="shared" si="18"/>
        <v>317.83</v>
      </c>
      <c r="K43" s="40">
        <f t="shared" si="18"/>
        <v>317.83</v>
      </c>
      <c r="L43" s="40">
        <f t="shared" si="18"/>
        <v>317.83</v>
      </c>
      <c r="M43" s="41">
        <f>VLOOKUP(A43,'Forecast on Yearly Trend'!$A$7:$B$110,2,FALSE)-SUM(B43:L43)</f>
        <v>317.87000000000035</v>
      </c>
      <c r="N43" s="47">
        <f t="shared" si="13"/>
        <v>3814</v>
      </c>
      <c r="O43" s="50"/>
      <c r="P43" s="40"/>
      <c r="Q43" s="40"/>
      <c r="R43" s="7"/>
      <c r="S43" s="7"/>
      <c r="T43" s="7"/>
      <c r="U43" s="7"/>
      <c r="V43" s="8"/>
      <c r="W43" s="8"/>
      <c r="X43" s="8"/>
      <c r="Y43" s="8"/>
      <c r="Z43" s="8"/>
      <c r="AA43" s="8"/>
      <c r="AB43" s="8"/>
      <c r="AC43" s="8"/>
      <c r="AD43" s="8"/>
    </row>
    <row r="44" spans="1:30" ht="15.5" customHeight="1" x14ac:dyDescent="0.2">
      <c r="A44" s="46" t="s">
        <v>67</v>
      </c>
      <c r="B44" s="39">
        <f>ROUND(VLOOKUP(A44,'Forecast on Yearly Trend'!$A$7:$B$110,2,FALSE)/12,2)</f>
        <v>500</v>
      </c>
      <c r="C44" s="40">
        <f t="shared" ref="C44:L44" si="19">B44</f>
        <v>500</v>
      </c>
      <c r="D44" s="40">
        <f t="shared" si="19"/>
        <v>500</v>
      </c>
      <c r="E44" s="40">
        <f t="shared" si="19"/>
        <v>500</v>
      </c>
      <c r="F44" s="40">
        <f t="shared" si="19"/>
        <v>500</v>
      </c>
      <c r="G44" s="40">
        <f t="shared" si="19"/>
        <v>500</v>
      </c>
      <c r="H44" s="40">
        <f t="shared" si="19"/>
        <v>500</v>
      </c>
      <c r="I44" s="40">
        <f t="shared" si="19"/>
        <v>500</v>
      </c>
      <c r="J44" s="40">
        <f t="shared" si="19"/>
        <v>500</v>
      </c>
      <c r="K44" s="40">
        <f t="shared" si="19"/>
        <v>500</v>
      </c>
      <c r="L44" s="40">
        <f t="shared" si="19"/>
        <v>500</v>
      </c>
      <c r="M44" s="41">
        <f>VLOOKUP(A44,'Forecast on Yearly Trend'!$A$7:$B$110,2,FALSE)-SUM(B44:L44)</f>
        <v>500</v>
      </c>
      <c r="N44" s="47">
        <f t="shared" si="13"/>
        <v>6000</v>
      </c>
      <c r="O44" s="50"/>
      <c r="P44" s="40"/>
      <c r="Q44" s="40"/>
      <c r="R44" s="7"/>
      <c r="S44" s="7"/>
      <c r="T44" s="7"/>
      <c r="U44" s="7"/>
      <c r="V44" s="8"/>
      <c r="W44" s="8"/>
      <c r="X44" s="8"/>
      <c r="Y44" s="8"/>
      <c r="Z44" s="8"/>
      <c r="AA44" s="8"/>
      <c r="AB44" s="8"/>
      <c r="AC44" s="8"/>
      <c r="AD44" s="8"/>
    </row>
    <row r="45" spans="1:30" ht="15.5" customHeight="1" x14ac:dyDescent="0.2">
      <c r="A45" s="46" t="s">
        <v>68</v>
      </c>
      <c r="B45" s="39">
        <f>ROUND(VLOOKUP(A45,'Forecast on Yearly Trend'!$A$7:$B$110,2,FALSE)/12,2)</f>
        <v>505.51</v>
      </c>
      <c r="C45" s="40">
        <f t="shared" ref="C45:L45" si="20">B45</f>
        <v>505.51</v>
      </c>
      <c r="D45" s="40">
        <f t="shared" si="20"/>
        <v>505.51</v>
      </c>
      <c r="E45" s="40">
        <f t="shared" si="20"/>
        <v>505.51</v>
      </c>
      <c r="F45" s="40">
        <f t="shared" si="20"/>
        <v>505.51</v>
      </c>
      <c r="G45" s="40">
        <f t="shared" si="20"/>
        <v>505.51</v>
      </c>
      <c r="H45" s="40">
        <f t="shared" si="20"/>
        <v>505.51</v>
      </c>
      <c r="I45" s="40">
        <f t="shared" si="20"/>
        <v>505.51</v>
      </c>
      <c r="J45" s="40">
        <f t="shared" si="20"/>
        <v>505.51</v>
      </c>
      <c r="K45" s="40">
        <f t="shared" si="20"/>
        <v>505.51</v>
      </c>
      <c r="L45" s="40">
        <f t="shared" si="20"/>
        <v>505.51</v>
      </c>
      <c r="M45" s="41">
        <f>VLOOKUP(A45,'Forecast on Yearly Trend'!$A$7:$B$110,2,FALSE)-SUM(B45:L45)</f>
        <v>505.54999999999836</v>
      </c>
      <c r="N45" s="47">
        <f t="shared" si="13"/>
        <v>6066.16</v>
      </c>
      <c r="O45" s="50"/>
      <c r="P45" s="40"/>
      <c r="Q45" s="40"/>
      <c r="R45" s="7"/>
      <c r="S45" s="7"/>
      <c r="T45" s="7"/>
      <c r="U45" s="7"/>
      <c r="V45" s="8"/>
      <c r="W45" s="8"/>
      <c r="X45" s="8"/>
      <c r="Y45" s="8"/>
      <c r="Z45" s="8"/>
      <c r="AA45" s="8"/>
      <c r="AB45" s="8"/>
      <c r="AC45" s="8"/>
      <c r="AD45" s="8"/>
    </row>
    <row r="46" spans="1:30" ht="15.5" customHeight="1" x14ac:dyDescent="0.2">
      <c r="A46" s="46" t="s">
        <v>69</v>
      </c>
      <c r="B46" s="39">
        <v>2500</v>
      </c>
      <c r="C46" s="40">
        <f t="shared" ref="C46:L46" si="21">B46</f>
        <v>2500</v>
      </c>
      <c r="D46" s="40">
        <f t="shared" si="21"/>
        <v>2500</v>
      </c>
      <c r="E46" s="40">
        <f t="shared" si="21"/>
        <v>2500</v>
      </c>
      <c r="F46" s="40">
        <f t="shared" si="21"/>
        <v>2500</v>
      </c>
      <c r="G46" s="40">
        <f t="shared" si="21"/>
        <v>2500</v>
      </c>
      <c r="H46" s="40">
        <f t="shared" si="21"/>
        <v>2500</v>
      </c>
      <c r="I46" s="40">
        <f t="shared" si="21"/>
        <v>2500</v>
      </c>
      <c r="J46" s="40">
        <f t="shared" si="21"/>
        <v>2500</v>
      </c>
      <c r="K46" s="40">
        <f t="shared" si="21"/>
        <v>2500</v>
      </c>
      <c r="L46" s="40">
        <f t="shared" si="21"/>
        <v>2500</v>
      </c>
      <c r="M46" s="41">
        <v>2500</v>
      </c>
      <c r="N46" s="47">
        <f t="shared" si="13"/>
        <v>30000</v>
      </c>
      <c r="O46" s="50"/>
      <c r="P46" s="40"/>
      <c r="Q46" s="40"/>
      <c r="R46" s="7"/>
      <c r="S46" s="7"/>
      <c r="T46" s="7"/>
      <c r="U46" s="7"/>
      <c r="V46" s="8"/>
      <c r="W46" s="8"/>
      <c r="X46" s="8"/>
      <c r="Y46" s="8"/>
      <c r="Z46" s="8"/>
      <c r="AA46" s="8"/>
      <c r="AB46" s="8"/>
      <c r="AC46" s="8"/>
      <c r="AD46" s="8"/>
    </row>
    <row r="47" spans="1:30" ht="15.5" customHeight="1" x14ac:dyDescent="0.2">
      <c r="A47" s="46" t="s">
        <v>70</v>
      </c>
      <c r="B47" s="39">
        <f>ROUND(VLOOKUP(A47,'Forecast on Yearly Trend'!$A$7:$B$110,2,FALSE)/12,2)</f>
        <v>2837.04</v>
      </c>
      <c r="C47" s="40">
        <f t="shared" ref="C47:L47" si="22">B47</f>
        <v>2837.04</v>
      </c>
      <c r="D47" s="40">
        <f t="shared" si="22"/>
        <v>2837.04</v>
      </c>
      <c r="E47" s="40">
        <f t="shared" si="22"/>
        <v>2837.04</v>
      </c>
      <c r="F47" s="40">
        <f t="shared" si="22"/>
        <v>2837.04</v>
      </c>
      <c r="G47" s="40">
        <f t="shared" si="22"/>
        <v>2837.04</v>
      </c>
      <c r="H47" s="40">
        <f t="shared" si="22"/>
        <v>2837.04</v>
      </c>
      <c r="I47" s="40">
        <f t="shared" si="22"/>
        <v>2837.04</v>
      </c>
      <c r="J47" s="40">
        <f t="shared" si="22"/>
        <v>2837.04</v>
      </c>
      <c r="K47" s="40">
        <f t="shared" si="22"/>
        <v>2837.04</v>
      </c>
      <c r="L47" s="40">
        <f t="shared" si="22"/>
        <v>2837.04</v>
      </c>
      <c r="M47" s="41">
        <f>VLOOKUP(A47,'Forecast on Yearly Trend'!$A$7:$B$110,2,FALSE)-SUM(B47:L47)</f>
        <v>2837.0799999999908</v>
      </c>
      <c r="N47" s="47">
        <f t="shared" si="13"/>
        <v>34044.519999999997</v>
      </c>
      <c r="O47" s="50"/>
      <c r="P47" s="40"/>
      <c r="Q47" s="40"/>
      <c r="R47" s="7"/>
      <c r="S47" s="7"/>
      <c r="T47" s="7"/>
      <c r="U47" s="7"/>
      <c r="V47" s="8"/>
      <c r="W47" s="8"/>
      <c r="X47" s="8"/>
      <c r="Y47" s="8"/>
      <c r="Z47" s="8"/>
      <c r="AA47" s="8"/>
      <c r="AB47" s="8"/>
      <c r="AC47" s="8"/>
      <c r="AD47" s="8"/>
    </row>
    <row r="48" spans="1:30" ht="15.5" customHeight="1" x14ac:dyDescent="0.2">
      <c r="A48" s="254" t="s">
        <v>71</v>
      </c>
      <c r="B48" s="39">
        <f>+Calculators!B55</f>
        <v>34500</v>
      </c>
      <c r="C48" s="39">
        <f>+Calculators!C55</f>
        <v>34500</v>
      </c>
      <c r="D48" s="39">
        <f>+Calculators!D55</f>
        <v>41250</v>
      </c>
      <c r="E48" s="39">
        <f>+Calculators!E55</f>
        <v>34500</v>
      </c>
      <c r="F48" s="39">
        <f>+Calculators!F55</f>
        <v>34500</v>
      </c>
      <c r="G48" s="39">
        <f>+Calculators!G55</f>
        <v>41250</v>
      </c>
      <c r="H48" s="39">
        <f>+Calculators!H55</f>
        <v>34500</v>
      </c>
      <c r="I48" s="39">
        <f>+Calculators!I55</f>
        <v>34500</v>
      </c>
      <c r="J48" s="39">
        <f>+Calculators!J55</f>
        <v>41250</v>
      </c>
      <c r="K48" s="39">
        <f>+Calculators!K55</f>
        <v>34500</v>
      </c>
      <c r="L48" s="39">
        <f>+Calculators!L55</f>
        <v>34500</v>
      </c>
      <c r="M48" s="39">
        <f>+Calculators!M55</f>
        <v>41250</v>
      </c>
      <c r="N48" s="253">
        <f t="shared" si="13"/>
        <v>441000</v>
      </c>
      <c r="O48" s="50"/>
      <c r="P48" s="7"/>
      <c r="Q48" s="7"/>
      <c r="R48" s="7"/>
      <c r="S48" s="7"/>
      <c r="T48" s="7"/>
      <c r="U48" s="7"/>
      <c r="V48" s="8"/>
      <c r="W48" s="8"/>
      <c r="X48" s="8"/>
      <c r="Y48" s="8"/>
      <c r="Z48" s="8"/>
      <c r="AA48" s="8"/>
      <c r="AB48" s="8"/>
      <c r="AC48" s="8"/>
      <c r="AD48" s="8"/>
    </row>
    <row r="49" spans="1:30" ht="15.5" customHeight="1" x14ac:dyDescent="0.2">
      <c r="A49" s="46" t="s">
        <v>72</v>
      </c>
      <c r="B49" s="39">
        <f>ROUND(VLOOKUP(A49,'Forecast on Yearly Trend'!$A$7:$B$110,2,FALSE)/12,2)</f>
        <v>3000</v>
      </c>
      <c r="C49" s="40">
        <f t="shared" ref="C49:L49" si="23">B49</f>
        <v>3000</v>
      </c>
      <c r="D49" s="40">
        <f t="shared" si="23"/>
        <v>3000</v>
      </c>
      <c r="E49" s="40">
        <f t="shared" si="23"/>
        <v>3000</v>
      </c>
      <c r="F49" s="40">
        <f t="shared" si="23"/>
        <v>3000</v>
      </c>
      <c r="G49" s="40">
        <f t="shared" si="23"/>
        <v>3000</v>
      </c>
      <c r="H49" s="40">
        <f t="shared" si="23"/>
        <v>3000</v>
      </c>
      <c r="I49" s="40">
        <f t="shared" si="23"/>
        <v>3000</v>
      </c>
      <c r="J49" s="40">
        <f t="shared" si="23"/>
        <v>3000</v>
      </c>
      <c r="K49" s="40">
        <f t="shared" si="23"/>
        <v>3000</v>
      </c>
      <c r="L49" s="40">
        <f t="shared" si="23"/>
        <v>3000</v>
      </c>
      <c r="M49" s="41">
        <f>VLOOKUP(A49,'Forecast on Yearly Trend'!$A$7:$B$110,2,FALSE)-SUM(B49:L49)</f>
        <v>3000</v>
      </c>
      <c r="N49" s="47">
        <f t="shared" si="13"/>
        <v>36000</v>
      </c>
      <c r="O49" s="50"/>
      <c r="P49" s="40"/>
      <c r="Q49" s="40"/>
      <c r="R49" s="7"/>
      <c r="S49" s="7"/>
      <c r="T49" s="7"/>
      <c r="U49" s="7"/>
      <c r="V49" s="8"/>
      <c r="W49" s="8"/>
      <c r="X49" s="8"/>
      <c r="Y49" s="8"/>
      <c r="Z49" s="8"/>
      <c r="AA49" s="8"/>
      <c r="AB49" s="8"/>
      <c r="AC49" s="8"/>
      <c r="AD49" s="8"/>
    </row>
    <row r="50" spans="1:30" ht="15.5" customHeight="1" x14ac:dyDescent="0.2">
      <c r="A50" s="46" t="s">
        <v>73</v>
      </c>
      <c r="B50" s="72">
        <f>ROUND(VLOOKUP(A50,'Forecast on Yearly Trend'!$A$7:$B$110,2,FALSE)/12,2)</f>
        <v>500</v>
      </c>
      <c r="C50" s="63">
        <f t="shared" ref="C50:L50" si="24">B50</f>
        <v>500</v>
      </c>
      <c r="D50" s="63">
        <f t="shared" si="24"/>
        <v>500</v>
      </c>
      <c r="E50" s="63">
        <f t="shared" si="24"/>
        <v>500</v>
      </c>
      <c r="F50" s="63">
        <f t="shared" si="24"/>
        <v>500</v>
      </c>
      <c r="G50" s="63">
        <f t="shared" si="24"/>
        <v>500</v>
      </c>
      <c r="H50" s="63">
        <f t="shared" si="24"/>
        <v>500</v>
      </c>
      <c r="I50" s="63">
        <f t="shared" si="24"/>
        <v>500</v>
      </c>
      <c r="J50" s="63">
        <f t="shared" si="24"/>
        <v>500</v>
      </c>
      <c r="K50" s="63">
        <f t="shared" si="24"/>
        <v>500</v>
      </c>
      <c r="L50" s="63">
        <f t="shared" si="24"/>
        <v>500</v>
      </c>
      <c r="M50" s="73">
        <f>VLOOKUP(A50,'Forecast on Yearly Trend'!$A$7:$B$110,2,FALSE)-SUM(B50:L50)</f>
        <v>500</v>
      </c>
      <c r="N50" s="47">
        <f t="shared" si="13"/>
        <v>6000</v>
      </c>
      <c r="O50" s="50"/>
      <c r="P50" s="40"/>
      <c r="Q50" s="40"/>
      <c r="R50" s="7"/>
      <c r="S50" s="7"/>
      <c r="T50" s="7"/>
      <c r="U50" s="7"/>
      <c r="V50" s="8"/>
      <c r="W50" s="8"/>
      <c r="X50" s="8"/>
      <c r="Y50" s="8"/>
      <c r="Z50" s="8"/>
      <c r="AA50" s="8"/>
      <c r="AB50" s="8"/>
      <c r="AC50" s="8"/>
      <c r="AD50" s="8"/>
    </row>
    <row r="51" spans="1:30" ht="15.5" customHeight="1" x14ac:dyDescent="0.2">
      <c r="A51" s="74" t="s">
        <v>74</v>
      </c>
      <c r="B51" s="75"/>
      <c r="C51" s="75"/>
      <c r="D51" s="75"/>
      <c r="E51" s="75"/>
      <c r="F51" s="29">
        <f t="shared" ref="F51:L51" si="25">322</f>
        <v>322</v>
      </c>
      <c r="G51" s="29">
        <f t="shared" ref="G51:M51" si="26">16.66</f>
        <v>16.66</v>
      </c>
      <c r="H51" s="75"/>
      <c r="I51" s="75"/>
      <c r="J51" s="75"/>
      <c r="K51" s="75"/>
      <c r="L51" s="29">
        <f t="shared" si="25"/>
        <v>322</v>
      </c>
      <c r="M51" s="29">
        <f t="shared" si="26"/>
        <v>16.66</v>
      </c>
      <c r="N51" s="76">
        <f t="shared" si="13"/>
        <v>677.32</v>
      </c>
      <c r="O51" s="25" t="s">
        <v>15</v>
      </c>
      <c r="P51" s="7"/>
      <c r="Q51" s="7"/>
      <c r="R51" s="7"/>
      <c r="S51" s="7"/>
      <c r="T51" s="7"/>
      <c r="U51" s="7"/>
      <c r="V51" s="8"/>
      <c r="W51" s="8"/>
      <c r="X51" s="8"/>
      <c r="Y51" s="8"/>
      <c r="Z51" s="8"/>
      <c r="AA51" s="8"/>
      <c r="AB51" s="8"/>
      <c r="AC51" s="8"/>
      <c r="AD51" s="8"/>
    </row>
    <row r="52" spans="1:30" ht="15.5" customHeight="1" x14ac:dyDescent="0.2">
      <c r="A52" s="13" t="s">
        <v>75</v>
      </c>
      <c r="B52" s="33">
        <f t="shared" ref="B52:M52" si="27">SUM(B37:B51)</f>
        <v>727651.2506250001</v>
      </c>
      <c r="C52" s="33">
        <f t="shared" si="27"/>
        <v>728181.01437499991</v>
      </c>
      <c r="D52" s="33">
        <f t="shared" si="27"/>
        <v>741183.11750000005</v>
      </c>
      <c r="E52" s="33">
        <f t="shared" si="27"/>
        <v>726921.80937500007</v>
      </c>
      <c r="F52" s="33">
        <f t="shared" si="27"/>
        <v>722140.55999999994</v>
      </c>
      <c r="G52" s="33">
        <f t="shared" si="27"/>
        <v>729446.09500000009</v>
      </c>
      <c r="H52" s="33">
        <f t="shared" si="27"/>
        <v>749784.61187499994</v>
      </c>
      <c r="I52" s="33">
        <f t="shared" si="27"/>
        <v>728912.78875000018</v>
      </c>
      <c r="J52" s="33">
        <f t="shared" si="27"/>
        <v>766892.93937499984</v>
      </c>
      <c r="K52" s="33">
        <f t="shared" si="27"/>
        <v>741197.03999999992</v>
      </c>
      <c r="L52" s="33">
        <f t="shared" si="27"/>
        <v>748858.06187500001</v>
      </c>
      <c r="M52" s="33">
        <f t="shared" si="27"/>
        <v>763787.97750000015</v>
      </c>
      <c r="N52" s="33">
        <f t="shared" si="13"/>
        <v>8874957.2662500013</v>
      </c>
      <c r="O52" s="7"/>
      <c r="P52" s="7"/>
      <c r="Q52" s="7"/>
      <c r="R52" s="7"/>
      <c r="S52" s="7"/>
      <c r="T52" s="7"/>
      <c r="U52" s="7"/>
      <c r="V52" s="8"/>
      <c r="W52" s="8"/>
      <c r="X52" s="8"/>
      <c r="Y52" s="8"/>
      <c r="Z52" s="8"/>
      <c r="AA52" s="8"/>
      <c r="AB52" s="8"/>
      <c r="AC52" s="8"/>
      <c r="AD52" s="8"/>
    </row>
    <row r="53" spans="1:30" ht="15.5" customHeight="1" x14ac:dyDescent="0.2">
      <c r="A53" s="13" t="s">
        <v>76</v>
      </c>
      <c r="B53" s="57"/>
      <c r="C53" s="57"/>
      <c r="D53" s="57"/>
      <c r="E53" s="57"/>
      <c r="F53" s="57"/>
      <c r="G53" s="57"/>
      <c r="H53" s="57"/>
      <c r="I53" s="57"/>
      <c r="J53" s="57"/>
      <c r="K53" s="57"/>
      <c r="L53" s="57"/>
      <c r="M53" s="57"/>
      <c r="N53" s="40"/>
      <c r="O53" s="7"/>
      <c r="P53" s="7"/>
      <c r="Q53" s="7"/>
      <c r="R53" s="7"/>
      <c r="S53" s="7"/>
      <c r="T53" s="7"/>
      <c r="U53" s="7"/>
      <c r="V53" s="8"/>
      <c r="W53" s="8"/>
      <c r="X53" s="8"/>
      <c r="Y53" s="8"/>
      <c r="Z53" s="8"/>
      <c r="AA53" s="8"/>
      <c r="AB53" s="8"/>
      <c r="AC53" s="8"/>
      <c r="AD53" s="8"/>
    </row>
    <row r="54" spans="1:30" ht="15.5" customHeight="1" x14ac:dyDescent="0.2">
      <c r="A54" s="22" t="s">
        <v>77</v>
      </c>
      <c r="B54" s="58">
        <f t="shared" ref="B54:H54" si="28">654.74</f>
        <v>654.74</v>
      </c>
      <c r="C54" s="23"/>
      <c r="D54" s="23"/>
      <c r="E54" s="23"/>
      <c r="F54" s="23"/>
      <c r="G54" s="23"/>
      <c r="H54" s="58">
        <f t="shared" si="28"/>
        <v>654.74</v>
      </c>
      <c r="I54" s="23"/>
      <c r="J54" s="23"/>
      <c r="K54" s="23"/>
      <c r="L54" s="23"/>
      <c r="M54" s="23"/>
      <c r="N54" s="24">
        <f t="shared" ref="N54:N84" si="29">SUM(B54:M54)</f>
        <v>1309.48</v>
      </c>
      <c r="O54" s="25" t="s">
        <v>15</v>
      </c>
      <c r="P54" s="7"/>
      <c r="Q54" s="7"/>
      <c r="R54" s="7"/>
      <c r="S54" s="7"/>
      <c r="T54" s="7"/>
      <c r="U54" s="7"/>
      <c r="V54" s="8"/>
      <c r="W54" s="8"/>
      <c r="X54" s="8"/>
      <c r="Y54" s="8"/>
      <c r="Z54" s="8"/>
      <c r="AA54" s="8"/>
      <c r="AB54" s="8"/>
      <c r="AC54" s="8"/>
      <c r="AD54" s="8"/>
    </row>
    <row r="55" spans="1:30" ht="15.5" customHeight="1" x14ac:dyDescent="0.2">
      <c r="A55" s="22" t="s">
        <v>78</v>
      </c>
      <c r="B55" s="58">
        <f t="shared" ref="B55:H55" si="30">63.6</f>
        <v>63.6</v>
      </c>
      <c r="C55" s="23"/>
      <c r="D55" s="58">
        <f t="shared" ref="D55:J55" si="31">500</f>
        <v>500</v>
      </c>
      <c r="E55" s="23"/>
      <c r="F55" s="23"/>
      <c r="G55" s="23"/>
      <c r="H55" s="58">
        <f t="shared" si="30"/>
        <v>63.6</v>
      </c>
      <c r="I55" s="23"/>
      <c r="J55" s="58">
        <f t="shared" si="31"/>
        <v>500</v>
      </c>
      <c r="K55" s="23"/>
      <c r="L55" s="23"/>
      <c r="M55" s="23"/>
      <c r="N55" s="24">
        <f t="shared" si="29"/>
        <v>1127.2</v>
      </c>
      <c r="O55" s="25" t="s">
        <v>15</v>
      </c>
      <c r="P55" s="7"/>
      <c r="Q55" s="7"/>
      <c r="R55" s="7"/>
      <c r="S55" s="7"/>
      <c r="T55" s="7"/>
      <c r="U55" s="7"/>
      <c r="V55" s="8"/>
      <c r="W55" s="8"/>
      <c r="X55" s="8"/>
      <c r="Y55" s="8"/>
      <c r="Z55" s="8"/>
      <c r="AA55" s="8"/>
      <c r="AB55" s="8"/>
      <c r="AC55" s="8"/>
      <c r="AD55" s="8"/>
    </row>
    <row r="56" spans="1:30" ht="15.5" customHeight="1" x14ac:dyDescent="0.2">
      <c r="A56" s="77" t="s">
        <v>79</v>
      </c>
      <c r="B56" s="58">
        <f t="shared" ref="B56:H56" si="32">5564</f>
        <v>5564</v>
      </c>
      <c r="C56" s="23">
        <v>2500</v>
      </c>
      <c r="D56" s="23">
        <v>2500</v>
      </c>
      <c r="E56" s="58">
        <f t="shared" ref="E56:K56" si="33">18666</f>
        <v>18666</v>
      </c>
      <c r="F56" s="23">
        <v>2500</v>
      </c>
      <c r="G56" s="23">
        <v>22000</v>
      </c>
      <c r="H56" s="58">
        <f t="shared" si="32"/>
        <v>5564</v>
      </c>
      <c r="I56" s="23">
        <v>2500</v>
      </c>
      <c r="J56" s="23">
        <v>2500</v>
      </c>
      <c r="K56" s="58">
        <f t="shared" si="33"/>
        <v>18666</v>
      </c>
      <c r="L56" s="23">
        <v>2500</v>
      </c>
      <c r="M56" s="23">
        <v>2500</v>
      </c>
      <c r="N56" s="78">
        <f t="shared" si="29"/>
        <v>87960</v>
      </c>
      <c r="O56" s="25" t="s">
        <v>15</v>
      </c>
      <c r="P56" s="7"/>
      <c r="Q56" s="7"/>
      <c r="R56" s="7"/>
      <c r="S56" s="7"/>
      <c r="T56" s="7"/>
      <c r="U56" s="7"/>
      <c r="V56" s="8"/>
      <c r="W56" s="8"/>
      <c r="X56" s="8"/>
      <c r="Y56" s="8"/>
      <c r="Z56" s="8"/>
      <c r="AA56" s="8"/>
      <c r="AB56" s="8"/>
      <c r="AC56" s="8"/>
      <c r="AD56" s="8"/>
    </row>
    <row r="57" spans="1:30" ht="15.5" customHeight="1" x14ac:dyDescent="0.2">
      <c r="A57" s="46" t="s">
        <v>80</v>
      </c>
      <c r="B57" s="39">
        <f>ROUND(VLOOKUP(A57,'Forecast on Yearly Trend'!$A$7:$B$110,2,FALSE)/12,2)</f>
        <v>4166.67</v>
      </c>
      <c r="C57" s="80">
        <f t="shared" ref="C57:L57" si="34">B57</f>
        <v>4166.67</v>
      </c>
      <c r="D57" s="80">
        <f t="shared" si="34"/>
        <v>4166.67</v>
      </c>
      <c r="E57" s="80">
        <f t="shared" si="34"/>
        <v>4166.67</v>
      </c>
      <c r="F57" s="80">
        <f t="shared" si="34"/>
        <v>4166.67</v>
      </c>
      <c r="G57" s="80">
        <f t="shared" si="34"/>
        <v>4166.67</v>
      </c>
      <c r="H57" s="80">
        <f t="shared" si="34"/>
        <v>4166.67</v>
      </c>
      <c r="I57" s="80">
        <f t="shared" si="34"/>
        <v>4166.67</v>
      </c>
      <c r="J57" s="80">
        <f t="shared" si="34"/>
        <v>4166.67</v>
      </c>
      <c r="K57" s="80">
        <f t="shared" si="34"/>
        <v>4166.67</v>
      </c>
      <c r="L57" s="80">
        <f t="shared" si="34"/>
        <v>4166.67</v>
      </c>
      <c r="M57" s="41">
        <f>VLOOKUP(A57,'Forecast on Yearly Trend'!$A$7:$B$110,2,FALSE)-SUM(B57:L57)</f>
        <v>4166.6300000000119</v>
      </c>
      <c r="N57" s="47">
        <f t="shared" si="29"/>
        <v>50000</v>
      </c>
      <c r="O57" s="50"/>
      <c r="P57" s="40"/>
      <c r="Q57" s="40"/>
      <c r="R57" s="7"/>
      <c r="S57" s="7"/>
      <c r="T57" s="7"/>
      <c r="U57" s="7"/>
      <c r="V57" s="8"/>
      <c r="W57" s="8"/>
      <c r="X57" s="8"/>
      <c r="Y57" s="8"/>
      <c r="Z57" s="8"/>
      <c r="AA57" s="8"/>
      <c r="AB57" s="8"/>
      <c r="AC57" s="8"/>
      <c r="AD57" s="8"/>
    </row>
    <row r="58" spans="1:30" ht="15.5" customHeight="1" x14ac:dyDescent="0.2">
      <c r="A58" s="46" t="s">
        <v>81</v>
      </c>
      <c r="B58" s="39">
        <f>ROUND(VLOOKUP(A58,'Forecast on Yearly Trend'!$A$7:$B$110,2,FALSE)/12,2)</f>
        <v>10000</v>
      </c>
      <c r="C58" s="40">
        <f t="shared" ref="C58:L58" si="35">B58</f>
        <v>10000</v>
      </c>
      <c r="D58" s="40">
        <f t="shared" si="35"/>
        <v>10000</v>
      </c>
      <c r="E58" s="40">
        <f t="shared" si="35"/>
        <v>10000</v>
      </c>
      <c r="F58" s="40">
        <f t="shared" si="35"/>
        <v>10000</v>
      </c>
      <c r="G58" s="40">
        <f t="shared" si="35"/>
        <v>10000</v>
      </c>
      <c r="H58" s="40">
        <f t="shared" si="35"/>
        <v>10000</v>
      </c>
      <c r="I58" s="40">
        <f t="shared" si="35"/>
        <v>10000</v>
      </c>
      <c r="J58" s="40">
        <f t="shared" si="35"/>
        <v>10000</v>
      </c>
      <c r="K58" s="40">
        <f t="shared" si="35"/>
        <v>10000</v>
      </c>
      <c r="L58" s="40">
        <f t="shared" si="35"/>
        <v>10000</v>
      </c>
      <c r="M58" s="41">
        <f>VLOOKUP(A58,'Forecast on Yearly Trend'!$A$7:$B$110,2,FALSE)-SUM(B58:L58)</f>
        <v>10000</v>
      </c>
      <c r="N58" s="47">
        <f t="shared" si="29"/>
        <v>120000</v>
      </c>
      <c r="O58" s="50"/>
      <c r="P58" s="40"/>
      <c r="Q58" s="40"/>
      <c r="R58" s="7"/>
      <c r="S58" s="7"/>
      <c r="T58" s="7"/>
      <c r="U58" s="7"/>
      <c r="V58" s="8"/>
      <c r="W58" s="8"/>
      <c r="X58" s="8"/>
      <c r="Y58" s="8"/>
      <c r="Z58" s="8"/>
      <c r="AA58" s="8"/>
      <c r="AB58" s="8"/>
      <c r="AC58" s="8"/>
      <c r="AD58" s="8"/>
    </row>
    <row r="59" spans="1:30" ht="15.5" customHeight="1" x14ac:dyDescent="0.2">
      <c r="A59" s="46" t="s">
        <v>82</v>
      </c>
      <c r="B59" s="39">
        <f>ROUND(VLOOKUP(A59,'Forecast on Yearly Trend'!$A$7:$B$110,2,FALSE)/12,2)</f>
        <v>0</v>
      </c>
      <c r="C59" s="40">
        <f t="shared" ref="C59:L59" si="36">B59</f>
        <v>0</v>
      </c>
      <c r="D59" s="40">
        <f t="shared" si="36"/>
        <v>0</v>
      </c>
      <c r="E59" s="40">
        <f t="shared" si="36"/>
        <v>0</v>
      </c>
      <c r="F59" s="40">
        <f t="shared" si="36"/>
        <v>0</v>
      </c>
      <c r="G59" s="40">
        <f t="shared" si="36"/>
        <v>0</v>
      </c>
      <c r="H59" s="40">
        <f t="shared" si="36"/>
        <v>0</v>
      </c>
      <c r="I59" s="40">
        <f t="shared" si="36"/>
        <v>0</v>
      </c>
      <c r="J59" s="40">
        <f t="shared" si="36"/>
        <v>0</v>
      </c>
      <c r="K59" s="40">
        <f t="shared" si="36"/>
        <v>0</v>
      </c>
      <c r="L59" s="40">
        <f t="shared" si="36"/>
        <v>0</v>
      </c>
      <c r="M59" s="41">
        <f>VLOOKUP(A59,'Forecast on Yearly Trend'!$A$7:$B$110,2,FALSE)-SUM(B59:L59)</f>
        <v>0</v>
      </c>
      <c r="N59" s="47">
        <f t="shared" si="29"/>
        <v>0</v>
      </c>
      <c r="O59" s="50"/>
      <c r="P59" s="40"/>
      <c r="Q59" s="40"/>
      <c r="R59" s="7"/>
      <c r="S59" s="7"/>
      <c r="T59" s="7"/>
      <c r="U59" s="7"/>
      <c r="V59" s="8"/>
      <c r="W59" s="8"/>
      <c r="X59" s="8"/>
      <c r="Y59" s="8"/>
      <c r="Z59" s="8"/>
      <c r="AA59" s="8"/>
      <c r="AB59" s="8"/>
      <c r="AC59" s="8"/>
      <c r="AD59" s="8"/>
    </row>
    <row r="60" spans="1:30" ht="15.5" customHeight="1" x14ac:dyDescent="0.2">
      <c r="A60" s="46" t="s">
        <v>83</v>
      </c>
      <c r="B60" s="39">
        <f>ROUND(VLOOKUP(A60,'Forecast on Yearly Trend'!$A$7:$B$110,2,FALSE)/12,2)</f>
        <v>1666.67</v>
      </c>
      <c r="C60" s="40">
        <f t="shared" ref="C60:L60" si="37">B60</f>
        <v>1666.67</v>
      </c>
      <c r="D60" s="40">
        <f t="shared" si="37"/>
        <v>1666.67</v>
      </c>
      <c r="E60" s="40">
        <f t="shared" si="37"/>
        <v>1666.67</v>
      </c>
      <c r="F60" s="40">
        <f t="shared" si="37"/>
        <v>1666.67</v>
      </c>
      <c r="G60" s="40">
        <f t="shared" si="37"/>
        <v>1666.67</v>
      </c>
      <c r="H60" s="40">
        <f t="shared" si="37"/>
        <v>1666.67</v>
      </c>
      <c r="I60" s="40">
        <f t="shared" si="37"/>
        <v>1666.67</v>
      </c>
      <c r="J60" s="40">
        <f t="shared" si="37"/>
        <v>1666.67</v>
      </c>
      <c r="K60" s="40">
        <f t="shared" si="37"/>
        <v>1666.67</v>
      </c>
      <c r="L60" s="40">
        <f t="shared" si="37"/>
        <v>1666.67</v>
      </c>
      <c r="M60" s="41">
        <f>VLOOKUP(A60,'Forecast on Yearly Trend'!$A$7:$B$110,2,FALSE)-SUM(B60:L60)</f>
        <v>1666.6299999999974</v>
      </c>
      <c r="N60" s="47">
        <f t="shared" si="29"/>
        <v>20000</v>
      </c>
      <c r="O60" s="50"/>
      <c r="P60" s="40"/>
      <c r="Q60" s="40"/>
      <c r="R60" s="7"/>
      <c r="S60" s="7"/>
      <c r="T60" s="7"/>
      <c r="U60" s="7"/>
      <c r="V60" s="8"/>
      <c r="W60" s="8"/>
      <c r="X60" s="8"/>
      <c r="Y60" s="8"/>
      <c r="Z60" s="8"/>
      <c r="AA60" s="8"/>
      <c r="AB60" s="8"/>
      <c r="AC60" s="8"/>
      <c r="AD60" s="8"/>
    </row>
    <row r="61" spans="1:30" ht="15.5" customHeight="1" x14ac:dyDescent="0.2">
      <c r="A61" s="46" t="s">
        <v>84</v>
      </c>
      <c r="B61" s="39">
        <f>ROUND(VLOOKUP(A61,'Forecast on Yearly Trend'!$A$7:$B$110,2,FALSE)/12,2)</f>
        <v>500</v>
      </c>
      <c r="C61" s="40">
        <f t="shared" ref="C61:L61" si="38">B61</f>
        <v>500</v>
      </c>
      <c r="D61" s="40">
        <f t="shared" si="38"/>
        <v>500</v>
      </c>
      <c r="E61" s="40">
        <f t="shared" si="38"/>
        <v>500</v>
      </c>
      <c r="F61" s="40">
        <f t="shared" si="38"/>
        <v>500</v>
      </c>
      <c r="G61" s="40">
        <f t="shared" si="38"/>
        <v>500</v>
      </c>
      <c r="H61" s="40">
        <f t="shared" si="38"/>
        <v>500</v>
      </c>
      <c r="I61" s="40">
        <f t="shared" si="38"/>
        <v>500</v>
      </c>
      <c r="J61" s="40">
        <f t="shared" si="38"/>
        <v>500</v>
      </c>
      <c r="K61" s="40">
        <f t="shared" si="38"/>
        <v>500</v>
      </c>
      <c r="L61" s="40">
        <f t="shared" si="38"/>
        <v>500</v>
      </c>
      <c r="M61" s="41">
        <f>VLOOKUP(A61,'Forecast on Yearly Trend'!$A$7:$B$110,2,FALSE)-SUM(B61:L61)</f>
        <v>500</v>
      </c>
      <c r="N61" s="47">
        <f t="shared" si="29"/>
        <v>6000</v>
      </c>
      <c r="O61" s="50"/>
      <c r="P61" s="40"/>
      <c r="Q61" s="40"/>
      <c r="R61" s="7"/>
      <c r="S61" s="7"/>
      <c r="T61" s="7"/>
      <c r="U61" s="7"/>
      <c r="V61" s="8"/>
      <c r="W61" s="8"/>
      <c r="X61" s="8"/>
      <c r="Y61" s="8"/>
      <c r="Z61" s="8"/>
      <c r="AA61" s="8"/>
      <c r="AB61" s="8"/>
      <c r="AC61" s="8"/>
      <c r="AD61" s="8"/>
    </row>
    <row r="62" spans="1:30" ht="15.5" customHeight="1" x14ac:dyDescent="0.2">
      <c r="A62" s="46" t="s">
        <v>85</v>
      </c>
      <c r="B62" s="51">
        <f>ROUND(VLOOKUP(A62,'Forecast on Yearly Trend'!$A$7:$B$110,2,FALSE)/12,2)</f>
        <v>2166.67</v>
      </c>
      <c r="C62" s="52">
        <f t="shared" ref="C62:L62" si="39">B62</f>
        <v>2166.67</v>
      </c>
      <c r="D62" s="52">
        <f t="shared" si="39"/>
        <v>2166.67</v>
      </c>
      <c r="E62" s="52">
        <f t="shared" si="39"/>
        <v>2166.67</v>
      </c>
      <c r="F62" s="52">
        <f t="shared" si="39"/>
        <v>2166.67</v>
      </c>
      <c r="G62" s="52">
        <f t="shared" si="39"/>
        <v>2166.67</v>
      </c>
      <c r="H62" s="52">
        <f t="shared" si="39"/>
        <v>2166.67</v>
      </c>
      <c r="I62" s="52">
        <f t="shared" si="39"/>
        <v>2166.67</v>
      </c>
      <c r="J62" s="52">
        <f t="shared" si="39"/>
        <v>2166.67</v>
      </c>
      <c r="K62" s="52">
        <f t="shared" si="39"/>
        <v>2166.67</v>
      </c>
      <c r="L62" s="52">
        <f t="shared" si="39"/>
        <v>2166.67</v>
      </c>
      <c r="M62" s="53">
        <f>VLOOKUP(A62,'Forecast on Yearly Trend'!$A$7:$B$110,2,FALSE)-SUM(B62:L62)</f>
        <v>2166.6300000000047</v>
      </c>
      <c r="N62" s="47">
        <f t="shared" si="29"/>
        <v>26000</v>
      </c>
      <c r="O62" s="50"/>
      <c r="P62" s="40"/>
      <c r="Q62" s="40"/>
      <c r="R62" s="7"/>
      <c r="S62" s="7"/>
      <c r="T62" s="7"/>
      <c r="U62" s="7"/>
      <c r="V62" s="8"/>
      <c r="W62" s="8"/>
      <c r="X62" s="8"/>
      <c r="Y62" s="8"/>
      <c r="Z62" s="8"/>
      <c r="AA62" s="8"/>
      <c r="AB62" s="8"/>
      <c r="AC62" s="8"/>
      <c r="AD62" s="8"/>
    </row>
    <row r="63" spans="1:30" ht="15.5" customHeight="1" x14ac:dyDescent="0.2">
      <c r="A63" s="64" t="s">
        <v>86</v>
      </c>
      <c r="B63" s="33">
        <f t="shared" ref="B63:M63" si="40">(((B59)+(B60))+(B61))+(B62)</f>
        <v>4333.34</v>
      </c>
      <c r="C63" s="33">
        <f t="shared" si="40"/>
        <v>4333.34</v>
      </c>
      <c r="D63" s="33">
        <f t="shared" si="40"/>
        <v>4333.34</v>
      </c>
      <c r="E63" s="33">
        <f t="shared" si="40"/>
        <v>4333.34</v>
      </c>
      <c r="F63" s="33">
        <f t="shared" si="40"/>
        <v>4333.34</v>
      </c>
      <c r="G63" s="33">
        <f t="shared" si="40"/>
        <v>4333.34</v>
      </c>
      <c r="H63" s="33">
        <f t="shared" si="40"/>
        <v>4333.34</v>
      </c>
      <c r="I63" s="33">
        <f t="shared" si="40"/>
        <v>4333.34</v>
      </c>
      <c r="J63" s="33">
        <f t="shared" si="40"/>
        <v>4333.34</v>
      </c>
      <c r="K63" s="33">
        <f t="shared" si="40"/>
        <v>4333.34</v>
      </c>
      <c r="L63" s="33">
        <f t="shared" si="40"/>
        <v>4333.34</v>
      </c>
      <c r="M63" s="33">
        <f t="shared" si="40"/>
        <v>4333.260000000002</v>
      </c>
      <c r="N63" s="66">
        <f t="shared" si="29"/>
        <v>51999.999999999993</v>
      </c>
      <c r="O63" s="7"/>
      <c r="P63" s="7"/>
      <c r="Q63" s="7"/>
      <c r="R63" s="7"/>
      <c r="S63" s="7"/>
      <c r="T63" s="7"/>
      <c r="U63" s="7"/>
      <c r="V63" s="8"/>
      <c r="W63" s="8"/>
      <c r="X63" s="8"/>
      <c r="Y63" s="8"/>
      <c r="Z63" s="8"/>
      <c r="AA63" s="8"/>
      <c r="AB63" s="8"/>
      <c r="AC63" s="8"/>
      <c r="AD63" s="8"/>
    </row>
    <row r="64" spans="1:30" ht="15.5" customHeight="1" x14ac:dyDescent="0.2">
      <c r="A64" s="46" t="s">
        <v>87</v>
      </c>
      <c r="B64" s="39">
        <f>ROUND(VLOOKUP(A64,'Forecast on Yearly Trend'!$A$7:$B$110,2,FALSE)/12,2)</f>
        <v>375</v>
      </c>
      <c r="C64" s="40">
        <f t="shared" ref="C64:L64" si="41">B64</f>
        <v>375</v>
      </c>
      <c r="D64" s="40">
        <f t="shared" si="41"/>
        <v>375</v>
      </c>
      <c r="E64" s="40">
        <f t="shared" si="41"/>
        <v>375</v>
      </c>
      <c r="F64" s="40">
        <f t="shared" si="41"/>
        <v>375</v>
      </c>
      <c r="G64" s="40">
        <f t="shared" si="41"/>
        <v>375</v>
      </c>
      <c r="H64" s="40">
        <f t="shared" si="41"/>
        <v>375</v>
      </c>
      <c r="I64" s="40">
        <f t="shared" si="41"/>
        <v>375</v>
      </c>
      <c r="J64" s="40">
        <f t="shared" si="41"/>
        <v>375</v>
      </c>
      <c r="K64" s="40">
        <f t="shared" si="41"/>
        <v>375</v>
      </c>
      <c r="L64" s="40">
        <f t="shared" si="41"/>
        <v>375</v>
      </c>
      <c r="M64" s="41">
        <f>VLOOKUP(A64,'Forecast on Yearly Trend'!$A$7:$B$110,2,FALSE)-SUM(B64:L64)</f>
        <v>375</v>
      </c>
      <c r="N64" s="47">
        <f t="shared" si="29"/>
        <v>4500</v>
      </c>
      <c r="O64" s="50"/>
      <c r="P64" s="40"/>
      <c r="Q64" s="40"/>
      <c r="R64" s="7"/>
      <c r="S64" s="7"/>
      <c r="T64" s="7"/>
      <c r="U64" s="7"/>
      <c r="V64" s="8"/>
      <c r="W64" s="8"/>
      <c r="X64" s="8"/>
      <c r="Y64" s="8"/>
      <c r="Z64" s="8"/>
      <c r="AA64" s="8"/>
      <c r="AB64" s="8"/>
      <c r="AC64" s="8"/>
      <c r="AD64" s="8"/>
    </row>
    <row r="65" spans="1:30" ht="15.5" customHeight="1" x14ac:dyDescent="0.2">
      <c r="A65" s="46" t="s">
        <v>88</v>
      </c>
      <c r="B65" s="39">
        <f>ROUND(VLOOKUP(A65,'Forecast on Yearly Trend'!$A$7:$B$110,2,FALSE)/12,2)</f>
        <v>2000</v>
      </c>
      <c r="C65" s="40">
        <f t="shared" ref="C65:L65" si="42">B65</f>
        <v>2000</v>
      </c>
      <c r="D65" s="40">
        <f t="shared" si="42"/>
        <v>2000</v>
      </c>
      <c r="E65" s="40">
        <f t="shared" si="42"/>
        <v>2000</v>
      </c>
      <c r="F65" s="40">
        <f t="shared" si="42"/>
        <v>2000</v>
      </c>
      <c r="G65" s="40">
        <f t="shared" si="42"/>
        <v>2000</v>
      </c>
      <c r="H65" s="40">
        <f t="shared" si="42"/>
        <v>2000</v>
      </c>
      <c r="I65" s="40">
        <f t="shared" si="42"/>
        <v>2000</v>
      </c>
      <c r="J65" s="40">
        <f t="shared" si="42"/>
        <v>2000</v>
      </c>
      <c r="K65" s="40">
        <f t="shared" si="42"/>
        <v>2000</v>
      </c>
      <c r="L65" s="40">
        <f t="shared" si="42"/>
        <v>2000</v>
      </c>
      <c r="M65" s="41">
        <f>VLOOKUP(A65,'Forecast on Yearly Trend'!$A$7:$B$110,2,FALSE)-SUM(B65:L65)</f>
        <v>2000</v>
      </c>
      <c r="N65" s="47">
        <f t="shared" si="29"/>
        <v>24000</v>
      </c>
      <c r="O65" s="50"/>
      <c r="P65" s="40"/>
      <c r="Q65" s="40"/>
      <c r="R65" s="7"/>
      <c r="S65" s="7"/>
      <c r="T65" s="7"/>
      <c r="U65" s="7"/>
      <c r="V65" s="8"/>
      <c r="W65" s="8"/>
      <c r="X65" s="8"/>
      <c r="Y65" s="8"/>
      <c r="Z65" s="8"/>
      <c r="AA65" s="8"/>
      <c r="AB65" s="8"/>
      <c r="AC65" s="8"/>
      <c r="AD65" s="8"/>
    </row>
    <row r="66" spans="1:30" ht="15.5" customHeight="1" x14ac:dyDescent="0.2">
      <c r="A66" s="46" t="s">
        <v>89</v>
      </c>
      <c r="B66" s="39">
        <f>ROUND(VLOOKUP(A66,'Forecast on Yearly Trend'!$A$7:$B$110,2,FALSE)/12,2)</f>
        <v>8.33</v>
      </c>
      <c r="C66" s="40">
        <f t="shared" ref="C66:L66" si="43">B66</f>
        <v>8.33</v>
      </c>
      <c r="D66" s="40">
        <f t="shared" si="43"/>
        <v>8.33</v>
      </c>
      <c r="E66" s="40">
        <f t="shared" si="43"/>
        <v>8.33</v>
      </c>
      <c r="F66" s="40">
        <f t="shared" si="43"/>
        <v>8.33</v>
      </c>
      <c r="G66" s="40">
        <f t="shared" si="43"/>
        <v>8.33</v>
      </c>
      <c r="H66" s="40">
        <f t="shared" si="43"/>
        <v>8.33</v>
      </c>
      <c r="I66" s="40">
        <f t="shared" si="43"/>
        <v>8.33</v>
      </c>
      <c r="J66" s="40">
        <f t="shared" si="43"/>
        <v>8.33</v>
      </c>
      <c r="K66" s="40">
        <f t="shared" si="43"/>
        <v>8.33</v>
      </c>
      <c r="L66" s="40">
        <f t="shared" si="43"/>
        <v>8.33</v>
      </c>
      <c r="M66" s="41">
        <f>VLOOKUP(A66,'Forecast on Yearly Trend'!$A$7:$B$110,2,FALSE)-SUM(B66:L66)</f>
        <v>8.3700000000000045</v>
      </c>
      <c r="N66" s="47">
        <f t="shared" si="29"/>
        <v>100</v>
      </c>
      <c r="O66" s="50"/>
      <c r="P66" s="40"/>
      <c r="Q66" s="40"/>
      <c r="R66" s="7"/>
      <c r="S66" s="7"/>
      <c r="T66" s="7"/>
      <c r="U66" s="7"/>
      <c r="V66" s="8"/>
      <c r="W66" s="8"/>
      <c r="X66" s="8"/>
      <c r="Y66" s="8"/>
      <c r="Z66" s="8"/>
      <c r="AA66" s="8"/>
      <c r="AB66" s="8"/>
      <c r="AC66" s="8"/>
      <c r="AD66" s="8"/>
    </row>
    <row r="67" spans="1:30" ht="15.5" customHeight="1" x14ac:dyDescent="0.2">
      <c r="A67" s="46" t="s">
        <v>90</v>
      </c>
      <c r="B67" s="39">
        <f>ROUND(VLOOKUP(A67,'Forecast on Yearly Trend'!$A$7:$B$110,2,FALSE)/12,2)</f>
        <v>1250</v>
      </c>
      <c r="C67" s="40">
        <f t="shared" ref="C67:L67" si="44">B67</f>
        <v>1250</v>
      </c>
      <c r="D67" s="40">
        <f t="shared" si="44"/>
        <v>1250</v>
      </c>
      <c r="E67" s="40">
        <f t="shared" si="44"/>
        <v>1250</v>
      </c>
      <c r="F67" s="40">
        <f t="shared" si="44"/>
        <v>1250</v>
      </c>
      <c r="G67" s="40">
        <f t="shared" si="44"/>
        <v>1250</v>
      </c>
      <c r="H67" s="40">
        <f t="shared" si="44"/>
        <v>1250</v>
      </c>
      <c r="I67" s="40">
        <f t="shared" si="44"/>
        <v>1250</v>
      </c>
      <c r="J67" s="40">
        <f t="shared" si="44"/>
        <v>1250</v>
      </c>
      <c r="K67" s="40">
        <f t="shared" si="44"/>
        <v>1250</v>
      </c>
      <c r="L67" s="40">
        <f t="shared" si="44"/>
        <v>1250</v>
      </c>
      <c r="M67" s="41">
        <f>VLOOKUP(A67,'Forecast on Yearly Trend'!$A$7:$B$110,2,FALSE)-SUM(B67:L67)</f>
        <v>1250</v>
      </c>
      <c r="N67" s="47">
        <f t="shared" si="29"/>
        <v>15000</v>
      </c>
      <c r="O67" s="50"/>
      <c r="P67" s="40"/>
      <c r="Q67" s="40"/>
      <c r="R67" s="7"/>
      <c r="S67" s="7"/>
      <c r="T67" s="7"/>
      <c r="U67" s="7"/>
      <c r="V67" s="8"/>
      <c r="W67" s="8"/>
      <c r="X67" s="8"/>
      <c r="Y67" s="8"/>
      <c r="Z67" s="8"/>
      <c r="AA67" s="8"/>
      <c r="AB67" s="8"/>
      <c r="AC67" s="8"/>
      <c r="AD67" s="8"/>
    </row>
    <row r="68" spans="1:30" ht="15.5" customHeight="1" x14ac:dyDescent="0.2">
      <c r="A68" s="46" t="s">
        <v>91</v>
      </c>
      <c r="B68" s="39">
        <f>ROUND(VLOOKUP(A68,'Forecast on Yearly Trend'!$A$7:$B$110,2,FALSE)/12,2)</f>
        <v>84.56</v>
      </c>
      <c r="C68" s="40">
        <f t="shared" ref="C68:L68" si="45">B68</f>
        <v>84.56</v>
      </c>
      <c r="D68" s="40">
        <f t="shared" si="45"/>
        <v>84.56</v>
      </c>
      <c r="E68" s="40">
        <f t="shared" si="45"/>
        <v>84.56</v>
      </c>
      <c r="F68" s="40">
        <f t="shared" si="45"/>
        <v>84.56</v>
      </c>
      <c r="G68" s="40">
        <f t="shared" si="45"/>
        <v>84.56</v>
      </c>
      <c r="H68" s="40">
        <f t="shared" si="45"/>
        <v>84.56</v>
      </c>
      <c r="I68" s="40">
        <f t="shared" si="45"/>
        <v>84.56</v>
      </c>
      <c r="J68" s="40">
        <f t="shared" si="45"/>
        <v>84.56</v>
      </c>
      <c r="K68" s="40">
        <f t="shared" si="45"/>
        <v>84.56</v>
      </c>
      <c r="L68" s="40">
        <f t="shared" si="45"/>
        <v>84.56</v>
      </c>
      <c r="M68" s="41">
        <f>VLOOKUP(A68,'Forecast on Yearly Trend'!$A$7:$B$110,2,FALSE)-SUM(B68:L68)</f>
        <v>84.540000000000191</v>
      </c>
      <c r="N68" s="47">
        <f t="shared" si="29"/>
        <v>1014.7</v>
      </c>
      <c r="O68" s="50"/>
      <c r="P68" s="40"/>
      <c r="Q68" s="40"/>
      <c r="R68" s="7"/>
      <c r="S68" s="7"/>
      <c r="T68" s="7"/>
      <c r="U68" s="7"/>
      <c r="V68" s="8"/>
      <c r="W68" s="8"/>
      <c r="X68" s="8"/>
      <c r="Y68" s="8"/>
      <c r="Z68" s="8"/>
      <c r="AA68" s="8"/>
      <c r="AB68" s="8"/>
      <c r="AC68" s="8"/>
      <c r="AD68" s="8"/>
    </row>
    <row r="69" spans="1:30" ht="15.5" customHeight="1" x14ac:dyDescent="0.2">
      <c r="A69" s="46" t="s">
        <v>92</v>
      </c>
      <c r="B69" s="39">
        <f>ROUND(VLOOKUP(A69,'Forecast on Yearly Trend'!$A$7:$B$110,2,FALSE)/12,2)</f>
        <v>1250</v>
      </c>
      <c r="C69" s="40">
        <f t="shared" ref="C69:L69" si="46">B69</f>
        <v>1250</v>
      </c>
      <c r="D69" s="40">
        <f t="shared" si="46"/>
        <v>1250</v>
      </c>
      <c r="E69" s="40">
        <f t="shared" si="46"/>
        <v>1250</v>
      </c>
      <c r="F69" s="40">
        <f t="shared" si="46"/>
        <v>1250</v>
      </c>
      <c r="G69" s="40">
        <f t="shared" si="46"/>
        <v>1250</v>
      </c>
      <c r="H69" s="40">
        <f t="shared" si="46"/>
        <v>1250</v>
      </c>
      <c r="I69" s="40">
        <f t="shared" si="46"/>
        <v>1250</v>
      </c>
      <c r="J69" s="40">
        <f t="shared" si="46"/>
        <v>1250</v>
      </c>
      <c r="K69" s="40">
        <f t="shared" si="46"/>
        <v>1250</v>
      </c>
      <c r="L69" s="40">
        <f t="shared" si="46"/>
        <v>1250</v>
      </c>
      <c r="M69" s="41">
        <f>VLOOKUP(A69,'Forecast on Yearly Trend'!$A$7:$B$110,2,FALSE)-SUM(B69:L69)</f>
        <v>1250</v>
      </c>
      <c r="N69" s="47">
        <f t="shared" si="29"/>
        <v>15000</v>
      </c>
      <c r="O69" s="50"/>
      <c r="P69" s="40"/>
      <c r="Q69" s="40"/>
      <c r="R69" s="7"/>
      <c r="S69" s="7"/>
      <c r="T69" s="7"/>
      <c r="U69" s="7"/>
      <c r="V69" s="8"/>
      <c r="W69" s="8"/>
      <c r="X69" s="8"/>
      <c r="Y69" s="8"/>
      <c r="Z69" s="8"/>
      <c r="AA69" s="8"/>
      <c r="AB69" s="8"/>
      <c r="AC69" s="8"/>
      <c r="AD69" s="8"/>
    </row>
    <row r="70" spans="1:30" ht="15.5" customHeight="1" x14ac:dyDescent="0.2">
      <c r="A70" s="46" t="s">
        <v>93</v>
      </c>
      <c r="B70" s="39">
        <f>ROUND(VLOOKUP(A70,'Forecast on Yearly Trend'!$A$7:$B$110,2,FALSE)/12,2)</f>
        <v>166.67</v>
      </c>
      <c r="C70" s="40">
        <f t="shared" ref="C70:L70" si="47">B70</f>
        <v>166.67</v>
      </c>
      <c r="D70" s="40">
        <f t="shared" si="47"/>
        <v>166.67</v>
      </c>
      <c r="E70" s="40">
        <f t="shared" si="47"/>
        <v>166.67</v>
      </c>
      <c r="F70" s="40">
        <f t="shared" si="47"/>
        <v>166.67</v>
      </c>
      <c r="G70" s="40">
        <f t="shared" si="47"/>
        <v>166.67</v>
      </c>
      <c r="H70" s="40">
        <f t="shared" si="47"/>
        <v>166.67</v>
      </c>
      <c r="I70" s="40">
        <f t="shared" si="47"/>
        <v>166.67</v>
      </c>
      <c r="J70" s="40">
        <f t="shared" si="47"/>
        <v>166.67</v>
      </c>
      <c r="K70" s="40">
        <f t="shared" si="47"/>
        <v>166.67</v>
      </c>
      <c r="L70" s="40">
        <f t="shared" si="47"/>
        <v>166.67</v>
      </c>
      <c r="M70" s="41">
        <f>VLOOKUP(A70,'Forecast on Yearly Trend'!$A$7:$B$110,2,FALSE)-SUM(B70:L70)</f>
        <v>166.62999999999988</v>
      </c>
      <c r="N70" s="47">
        <f t="shared" si="29"/>
        <v>2000</v>
      </c>
      <c r="O70" s="50"/>
      <c r="P70" s="40"/>
      <c r="Q70" s="40"/>
      <c r="R70" s="7"/>
      <c r="S70" s="7"/>
      <c r="T70" s="7"/>
      <c r="U70" s="7"/>
      <c r="V70" s="8"/>
      <c r="W70" s="8"/>
      <c r="X70" s="8"/>
      <c r="Y70" s="8"/>
      <c r="Z70" s="8"/>
      <c r="AA70" s="8"/>
      <c r="AB70" s="8"/>
      <c r="AC70" s="8"/>
      <c r="AD70" s="8"/>
    </row>
    <row r="71" spans="1:30" ht="15.5" customHeight="1" x14ac:dyDescent="0.2">
      <c r="A71" s="46" t="s">
        <v>94</v>
      </c>
      <c r="B71" s="39">
        <f>ROUND(VLOOKUP(A71,'Forecast on Yearly Trend'!$A$7:$B$110,2,FALSE)/12,2)</f>
        <v>500</v>
      </c>
      <c r="C71" s="40">
        <f t="shared" ref="C71:L71" si="48">B71</f>
        <v>500</v>
      </c>
      <c r="D71" s="40">
        <f t="shared" si="48"/>
        <v>500</v>
      </c>
      <c r="E71" s="40">
        <f t="shared" si="48"/>
        <v>500</v>
      </c>
      <c r="F71" s="40">
        <f t="shared" si="48"/>
        <v>500</v>
      </c>
      <c r="G71" s="40">
        <f t="shared" si="48"/>
        <v>500</v>
      </c>
      <c r="H71" s="40">
        <f t="shared" si="48"/>
        <v>500</v>
      </c>
      <c r="I71" s="40">
        <f t="shared" si="48"/>
        <v>500</v>
      </c>
      <c r="J71" s="40">
        <f t="shared" si="48"/>
        <v>500</v>
      </c>
      <c r="K71" s="40">
        <f t="shared" si="48"/>
        <v>500</v>
      </c>
      <c r="L71" s="40">
        <f t="shared" si="48"/>
        <v>500</v>
      </c>
      <c r="M71" s="41">
        <f>VLOOKUP(A71,'Forecast on Yearly Trend'!$A$7:$B$110,2,FALSE)-SUM(B71:L71)</f>
        <v>500</v>
      </c>
      <c r="N71" s="47">
        <f t="shared" si="29"/>
        <v>6000</v>
      </c>
      <c r="O71" s="50"/>
      <c r="P71" s="40"/>
      <c r="Q71" s="40"/>
      <c r="R71" s="7"/>
      <c r="S71" s="7"/>
      <c r="T71" s="7"/>
      <c r="U71" s="7"/>
      <c r="V71" s="8"/>
      <c r="W71" s="8"/>
      <c r="X71" s="8"/>
      <c r="Y71" s="8"/>
      <c r="Z71" s="8"/>
      <c r="AA71" s="8"/>
      <c r="AB71" s="8"/>
      <c r="AC71" s="8"/>
      <c r="AD71" s="8"/>
    </row>
    <row r="72" spans="1:30" ht="15.5" customHeight="1" x14ac:dyDescent="0.2">
      <c r="A72" s="46" t="s">
        <v>95</v>
      </c>
      <c r="B72" s="39">
        <f>ROUND(VLOOKUP(A72,'Forecast on Yearly Trend'!$A$7:$B$110,2,FALSE)/12,2)</f>
        <v>200</v>
      </c>
      <c r="C72" s="40">
        <f t="shared" ref="C72:L72" si="49">B72</f>
        <v>200</v>
      </c>
      <c r="D72" s="40">
        <f t="shared" si="49"/>
        <v>200</v>
      </c>
      <c r="E72" s="40">
        <f t="shared" si="49"/>
        <v>200</v>
      </c>
      <c r="F72" s="40">
        <f t="shared" si="49"/>
        <v>200</v>
      </c>
      <c r="G72" s="40">
        <f t="shared" si="49"/>
        <v>200</v>
      </c>
      <c r="H72" s="40">
        <f t="shared" si="49"/>
        <v>200</v>
      </c>
      <c r="I72" s="40">
        <f t="shared" si="49"/>
        <v>200</v>
      </c>
      <c r="J72" s="40">
        <f t="shared" si="49"/>
        <v>200</v>
      </c>
      <c r="K72" s="40">
        <f t="shared" si="49"/>
        <v>200</v>
      </c>
      <c r="L72" s="40">
        <f t="shared" si="49"/>
        <v>200</v>
      </c>
      <c r="M72" s="41">
        <f>VLOOKUP(A72,'Forecast on Yearly Trend'!$A$7:$B$110,2,FALSE)-SUM(B72:L72)</f>
        <v>200</v>
      </c>
      <c r="N72" s="47">
        <f t="shared" si="29"/>
        <v>2400</v>
      </c>
      <c r="O72" s="50"/>
      <c r="P72" s="40"/>
      <c r="Q72" s="40"/>
      <c r="R72" s="7"/>
      <c r="S72" s="7"/>
      <c r="T72" s="7"/>
      <c r="U72" s="7"/>
      <c r="V72" s="8"/>
      <c r="W72" s="8"/>
      <c r="X72" s="8"/>
      <c r="Y72" s="8"/>
      <c r="Z72" s="8"/>
      <c r="AA72" s="8"/>
      <c r="AB72" s="8"/>
      <c r="AC72" s="8"/>
      <c r="AD72" s="8"/>
    </row>
    <row r="73" spans="1:30" ht="15.5" customHeight="1" x14ac:dyDescent="0.2">
      <c r="A73" s="46" t="s">
        <v>96</v>
      </c>
      <c r="B73" s="72">
        <f>ROUND(VLOOKUP(A73,'Forecast on Yearly Trend'!$A$7:$B$110,2,FALSE)/12,2)</f>
        <v>150</v>
      </c>
      <c r="C73" s="63">
        <f t="shared" ref="C73:L73" si="50">B73</f>
        <v>150</v>
      </c>
      <c r="D73" s="63">
        <f t="shared" si="50"/>
        <v>150</v>
      </c>
      <c r="E73" s="63">
        <f t="shared" si="50"/>
        <v>150</v>
      </c>
      <c r="F73" s="63">
        <f t="shared" si="50"/>
        <v>150</v>
      </c>
      <c r="G73" s="63">
        <f t="shared" si="50"/>
        <v>150</v>
      </c>
      <c r="H73" s="63">
        <f t="shared" si="50"/>
        <v>150</v>
      </c>
      <c r="I73" s="63">
        <f t="shared" si="50"/>
        <v>150</v>
      </c>
      <c r="J73" s="63">
        <f t="shared" si="50"/>
        <v>150</v>
      </c>
      <c r="K73" s="63">
        <f t="shared" si="50"/>
        <v>150</v>
      </c>
      <c r="L73" s="63">
        <f t="shared" si="50"/>
        <v>150</v>
      </c>
      <c r="M73" s="73">
        <f>VLOOKUP(A73,'Forecast on Yearly Trend'!$A$7:$B$110,2,FALSE)-SUM(B73:L73)</f>
        <v>150</v>
      </c>
      <c r="N73" s="47">
        <f t="shared" si="29"/>
        <v>1800</v>
      </c>
      <c r="O73" s="50"/>
      <c r="P73" s="40"/>
      <c r="Q73" s="40"/>
      <c r="R73" s="7"/>
      <c r="S73" s="7"/>
      <c r="T73" s="7"/>
      <c r="U73" s="7"/>
      <c r="V73" s="8"/>
      <c r="W73" s="8"/>
      <c r="X73" s="8"/>
      <c r="Y73" s="8"/>
      <c r="Z73" s="8"/>
      <c r="AA73" s="8"/>
      <c r="AB73" s="8"/>
      <c r="AC73" s="8"/>
      <c r="AD73" s="8"/>
    </row>
    <row r="74" spans="1:30" ht="15.5" customHeight="1" x14ac:dyDescent="0.2">
      <c r="A74" s="82" t="s">
        <v>97</v>
      </c>
      <c r="B74" s="58">
        <f t="shared" ref="B74:H74" si="51">409.6</f>
        <v>409.6</v>
      </c>
      <c r="C74" s="58">
        <f t="shared" ref="C74:I74" si="52">5955</f>
        <v>5955</v>
      </c>
      <c r="D74" s="58">
        <f t="shared" ref="D74:J74" si="53">462</f>
        <v>462</v>
      </c>
      <c r="E74" s="58">
        <f t="shared" ref="E74:K74" si="54">1716.5</f>
        <v>1716.5</v>
      </c>
      <c r="F74" s="58">
        <f t="shared" ref="F74:L74" si="55">2563.9</f>
        <v>2563.9</v>
      </c>
      <c r="G74" s="58">
        <f t="shared" ref="G74:M74" si="56">261</f>
        <v>261</v>
      </c>
      <c r="H74" s="58">
        <f t="shared" si="51"/>
        <v>409.6</v>
      </c>
      <c r="I74" s="58">
        <f t="shared" si="52"/>
        <v>5955</v>
      </c>
      <c r="J74" s="58">
        <f t="shared" si="53"/>
        <v>462</v>
      </c>
      <c r="K74" s="58">
        <f t="shared" si="54"/>
        <v>1716.5</v>
      </c>
      <c r="L74" s="58">
        <f t="shared" si="55"/>
        <v>2563.9</v>
      </c>
      <c r="M74" s="58">
        <f t="shared" si="56"/>
        <v>261</v>
      </c>
      <c r="N74" s="83">
        <f t="shared" si="29"/>
        <v>22736</v>
      </c>
      <c r="O74" s="25" t="s">
        <v>15</v>
      </c>
      <c r="P74" s="7"/>
      <c r="Q74" s="7"/>
      <c r="R74" s="7"/>
      <c r="S74" s="7"/>
      <c r="T74" s="7"/>
      <c r="U74" s="7"/>
      <c r="V74" s="8"/>
      <c r="W74" s="8"/>
      <c r="X74" s="8"/>
      <c r="Y74" s="8"/>
      <c r="Z74" s="8"/>
      <c r="AA74" s="8"/>
      <c r="AB74" s="8"/>
      <c r="AC74" s="8"/>
      <c r="AD74" s="8"/>
    </row>
    <row r="75" spans="1:30" ht="15.5" customHeight="1" x14ac:dyDescent="0.2">
      <c r="A75" s="46" t="s">
        <v>98</v>
      </c>
      <c r="B75" s="79">
        <f>ROUND(VLOOKUP(A75,'Forecast on Yearly Trend'!$A$7:$B$110,2,FALSE)/12,2)</f>
        <v>2750</v>
      </c>
      <c r="C75" s="80">
        <f t="shared" ref="C75:L75" si="57">B75</f>
        <v>2750</v>
      </c>
      <c r="D75" s="80">
        <f t="shared" si="57"/>
        <v>2750</v>
      </c>
      <c r="E75" s="80">
        <f t="shared" si="57"/>
        <v>2750</v>
      </c>
      <c r="F75" s="80">
        <f t="shared" si="57"/>
        <v>2750</v>
      </c>
      <c r="G75" s="80">
        <f t="shared" si="57"/>
        <v>2750</v>
      </c>
      <c r="H75" s="80">
        <f t="shared" si="57"/>
        <v>2750</v>
      </c>
      <c r="I75" s="80">
        <f t="shared" si="57"/>
        <v>2750</v>
      </c>
      <c r="J75" s="80">
        <f t="shared" si="57"/>
        <v>2750</v>
      </c>
      <c r="K75" s="80">
        <f t="shared" si="57"/>
        <v>2750</v>
      </c>
      <c r="L75" s="80">
        <f t="shared" si="57"/>
        <v>2750</v>
      </c>
      <c r="M75" s="81">
        <f>VLOOKUP(A75,'Forecast on Yearly Trend'!$A$7:$B$110,2,FALSE)-SUM(B75:L75)</f>
        <v>2750</v>
      </c>
      <c r="N75" s="47">
        <f t="shared" si="29"/>
        <v>33000</v>
      </c>
      <c r="O75" s="50"/>
      <c r="P75" s="40"/>
      <c r="Q75" s="40"/>
      <c r="R75" s="7"/>
      <c r="S75" s="7"/>
      <c r="T75" s="7"/>
      <c r="U75" s="7"/>
      <c r="V75" s="8"/>
      <c r="W75" s="8"/>
      <c r="X75" s="8"/>
      <c r="Y75" s="8"/>
      <c r="Z75" s="8"/>
      <c r="AA75" s="8"/>
      <c r="AB75" s="8"/>
      <c r="AC75" s="8"/>
      <c r="AD75" s="8"/>
    </row>
    <row r="76" spans="1:30" ht="15.5" customHeight="1" x14ac:dyDescent="0.2">
      <c r="A76" s="46" t="s">
        <v>99</v>
      </c>
      <c r="B76" s="39">
        <f>ROUND(VLOOKUP(A76,'Forecast on Yearly Trend'!$A$7:$B$110,2,FALSE)/12,2)</f>
        <v>416.67</v>
      </c>
      <c r="C76" s="40">
        <f t="shared" ref="C76:L76" si="58">B76</f>
        <v>416.67</v>
      </c>
      <c r="D76" s="40">
        <f t="shared" si="58"/>
        <v>416.67</v>
      </c>
      <c r="E76" s="40">
        <f t="shared" si="58"/>
        <v>416.67</v>
      </c>
      <c r="F76" s="40">
        <f t="shared" si="58"/>
        <v>416.67</v>
      </c>
      <c r="G76" s="40">
        <f t="shared" si="58"/>
        <v>416.67</v>
      </c>
      <c r="H76" s="40">
        <f t="shared" si="58"/>
        <v>416.67</v>
      </c>
      <c r="I76" s="40">
        <f t="shared" si="58"/>
        <v>416.67</v>
      </c>
      <c r="J76" s="40">
        <f t="shared" si="58"/>
        <v>416.67</v>
      </c>
      <c r="K76" s="40">
        <f t="shared" si="58"/>
        <v>416.67</v>
      </c>
      <c r="L76" s="40">
        <f t="shared" si="58"/>
        <v>416.67</v>
      </c>
      <c r="M76" s="41">
        <f>VLOOKUP(A76,'Forecast on Yearly Trend'!$A$7:$B$110,2,FALSE)-SUM(B76:L76)</f>
        <v>416.63000000000011</v>
      </c>
      <c r="N76" s="47">
        <f t="shared" si="29"/>
        <v>5000</v>
      </c>
      <c r="O76" s="50"/>
      <c r="P76" s="40"/>
      <c r="Q76" s="40"/>
      <c r="R76" s="7"/>
      <c r="S76" s="7"/>
      <c r="T76" s="7"/>
      <c r="U76" s="7"/>
      <c r="V76" s="8"/>
      <c r="W76" s="8"/>
      <c r="X76" s="8"/>
      <c r="Y76" s="8"/>
      <c r="Z76" s="8"/>
      <c r="AA76" s="8"/>
      <c r="AB76" s="8"/>
      <c r="AC76" s="8"/>
      <c r="AD76" s="8"/>
    </row>
    <row r="77" spans="1:30" ht="15.5" customHeight="1" x14ac:dyDescent="0.2">
      <c r="A77" s="46" t="s">
        <v>100</v>
      </c>
      <c r="B77" s="39">
        <f>ROUND(VLOOKUP(A77,'Forecast on Yearly Trend'!$A$7:$B$110,2,FALSE)/12,2)</f>
        <v>33.33</v>
      </c>
      <c r="C77" s="40">
        <f t="shared" ref="C77:L77" si="59">B77</f>
        <v>33.33</v>
      </c>
      <c r="D77" s="40">
        <f t="shared" si="59"/>
        <v>33.33</v>
      </c>
      <c r="E77" s="40">
        <f t="shared" si="59"/>
        <v>33.33</v>
      </c>
      <c r="F77" s="40">
        <f t="shared" si="59"/>
        <v>33.33</v>
      </c>
      <c r="G77" s="40">
        <f t="shared" si="59"/>
        <v>33.33</v>
      </c>
      <c r="H77" s="40">
        <f t="shared" si="59"/>
        <v>33.33</v>
      </c>
      <c r="I77" s="40">
        <f t="shared" si="59"/>
        <v>33.33</v>
      </c>
      <c r="J77" s="40">
        <f t="shared" si="59"/>
        <v>33.33</v>
      </c>
      <c r="K77" s="40">
        <f t="shared" si="59"/>
        <v>33.33</v>
      </c>
      <c r="L77" s="40">
        <f t="shared" si="59"/>
        <v>33.33</v>
      </c>
      <c r="M77" s="41">
        <f>VLOOKUP(A77,'Forecast on Yearly Trend'!$A$7:$B$110,2,FALSE)-SUM(B77:L77)</f>
        <v>33.370000000000118</v>
      </c>
      <c r="N77" s="47">
        <f t="shared" si="29"/>
        <v>400</v>
      </c>
      <c r="O77" s="50"/>
      <c r="P77" s="40"/>
      <c r="Q77" s="40"/>
      <c r="R77" s="7"/>
      <c r="S77" s="7"/>
      <c r="T77" s="7"/>
      <c r="U77" s="7"/>
      <c r="V77" s="8"/>
      <c r="W77" s="8"/>
      <c r="X77" s="8"/>
      <c r="Y77" s="8"/>
      <c r="Z77" s="8"/>
      <c r="AA77" s="8"/>
      <c r="AB77" s="8"/>
      <c r="AC77" s="8"/>
      <c r="AD77" s="8"/>
    </row>
    <row r="78" spans="1:30" ht="15.5" customHeight="1" x14ac:dyDescent="0.2">
      <c r="A78" s="55" t="s">
        <v>101</v>
      </c>
      <c r="B78" s="57"/>
      <c r="C78" s="57"/>
      <c r="D78" s="57"/>
      <c r="E78" s="57"/>
      <c r="F78" s="57"/>
      <c r="G78" s="57"/>
      <c r="H78" s="57"/>
      <c r="I78" s="57"/>
      <c r="J78" s="57"/>
      <c r="K78" s="57"/>
      <c r="L78" s="57"/>
      <c r="M78" s="57"/>
      <c r="N78" s="69">
        <f t="shared" si="29"/>
        <v>0</v>
      </c>
      <c r="O78" s="7"/>
      <c r="P78" s="7"/>
      <c r="Q78" s="7"/>
      <c r="R78" s="7"/>
      <c r="S78" s="7"/>
      <c r="T78" s="7"/>
      <c r="U78" s="7"/>
      <c r="V78" s="8"/>
      <c r="W78" s="8"/>
      <c r="X78" s="8"/>
      <c r="Y78" s="8"/>
      <c r="Z78" s="8"/>
      <c r="AA78" s="8"/>
      <c r="AB78" s="8"/>
      <c r="AC78" s="8"/>
      <c r="AD78" s="8"/>
    </row>
    <row r="79" spans="1:30" ht="15.5" customHeight="1" x14ac:dyDescent="0.2">
      <c r="A79" s="22" t="s">
        <v>102</v>
      </c>
      <c r="B79" s="58">
        <v>1000</v>
      </c>
      <c r="C79" s="23">
        <v>1000</v>
      </c>
      <c r="D79" s="23">
        <v>1000</v>
      </c>
      <c r="E79" s="23">
        <v>1000</v>
      </c>
      <c r="F79" s="23">
        <v>1000</v>
      </c>
      <c r="G79" s="23">
        <v>1000</v>
      </c>
      <c r="H79" s="23">
        <v>1000</v>
      </c>
      <c r="I79" s="23">
        <v>1000</v>
      </c>
      <c r="J79" s="23">
        <v>1000</v>
      </c>
      <c r="K79" s="23">
        <v>1000</v>
      </c>
      <c r="L79" s="23">
        <v>1000</v>
      </c>
      <c r="M79" s="23">
        <v>1000</v>
      </c>
      <c r="N79" s="24">
        <f t="shared" si="29"/>
        <v>12000</v>
      </c>
      <c r="O79" s="25" t="s">
        <v>15</v>
      </c>
      <c r="P79" s="7"/>
      <c r="Q79" s="7"/>
      <c r="R79" s="7"/>
      <c r="S79" s="7"/>
      <c r="T79" s="7"/>
      <c r="U79" s="7"/>
      <c r="V79" s="8"/>
      <c r="W79" s="8"/>
      <c r="X79" s="8"/>
      <c r="Y79" s="8"/>
      <c r="Z79" s="8"/>
      <c r="AA79" s="8"/>
      <c r="AB79" s="8"/>
      <c r="AC79" s="8"/>
      <c r="AD79" s="8"/>
    </row>
    <row r="80" spans="1:30" ht="15.5" customHeight="1" x14ac:dyDescent="0.2">
      <c r="A80" s="22" t="s">
        <v>103</v>
      </c>
      <c r="B80" s="75">
        <v>800</v>
      </c>
      <c r="C80" s="75">
        <v>800</v>
      </c>
      <c r="D80" s="75">
        <v>800</v>
      </c>
      <c r="E80" s="75">
        <v>800</v>
      </c>
      <c r="F80" s="75">
        <v>800</v>
      </c>
      <c r="G80" s="75">
        <v>800</v>
      </c>
      <c r="H80" s="75">
        <v>800</v>
      </c>
      <c r="I80" s="75">
        <v>800</v>
      </c>
      <c r="J80" s="75">
        <v>800</v>
      </c>
      <c r="K80" s="75">
        <v>800</v>
      </c>
      <c r="L80" s="75">
        <v>800</v>
      </c>
      <c r="M80" s="75">
        <v>800</v>
      </c>
      <c r="N80" s="30">
        <f t="shared" si="29"/>
        <v>9600</v>
      </c>
      <c r="O80" s="25" t="s">
        <v>15</v>
      </c>
      <c r="P80" s="7"/>
      <c r="Q80" s="7"/>
      <c r="R80" s="7"/>
      <c r="S80" s="7"/>
      <c r="T80" s="7"/>
      <c r="U80" s="7"/>
      <c r="V80" s="8"/>
      <c r="W80" s="8"/>
      <c r="X80" s="8"/>
      <c r="Y80" s="8"/>
      <c r="Z80" s="8"/>
      <c r="AA80" s="8"/>
      <c r="AB80" s="8"/>
      <c r="AC80" s="8"/>
      <c r="AD80" s="8"/>
    </row>
    <row r="81" spans="1:30" ht="15.5" customHeight="1" x14ac:dyDescent="0.2">
      <c r="A81" s="13" t="s">
        <v>104</v>
      </c>
      <c r="B81" s="34">
        <f t="shared" ref="B81:M81" si="60">((B78)+(B79))+(B80)</f>
        <v>1800</v>
      </c>
      <c r="C81" s="34">
        <f t="shared" si="60"/>
        <v>1800</v>
      </c>
      <c r="D81" s="34">
        <f t="shared" si="60"/>
        <v>1800</v>
      </c>
      <c r="E81" s="34">
        <f t="shared" si="60"/>
        <v>1800</v>
      </c>
      <c r="F81" s="34">
        <f t="shared" si="60"/>
        <v>1800</v>
      </c>
      <c r="G81" s="34">
        <f t="shared" si="60"/>
        <v>1800</v>
      </c>
      <c r="H81" s="34">
        <f t="shared" si="60"/>
        <v>1800</v>
      </c>
      <c r="I81" s="34">
        <f t="shared" si="60"/>
        <v>1800</v>
      </c>
      <c r="J81" s="34">
        <f t="shared" si="60"/>
        <v>1800</v>
      </c>
      <c r="K81" s="34">
        <f t="shared" si="60"/>
        <v>1800</v>
      </c>
      <c r="L81" s="34">
        <f t="shared" si="60"/>
        <v>1800</v>
      </c>
      <c r="M81" s="34">
        <f t="shared" si="60"/>
        <v>1800</v>
      </c>
      <c r="N81" s="33">
        <f t="shared" si="29"/>
        <v>21600</v>
      </c>
      <c r="O81" s="7"/>
      <c r="P81" s="7"/>
      <c r="Q81" s="7"/>
      <c r="R81" s="7"/>
      <c r="S81" s="7"/>
      <c r="T81" s="7"/>
      <c r="U81" s="7"/>
      <c r="V81" s="8"/>
      <c r="W81" s="8"/>
      <c r="X81" s="8"/>
      <c r="Y81" s="8"/>
      <c r="Z81" s="8"/>
      <c r="AA81" s="8"/>
      <c r="AB81" s="8"/>
      <c r="AC81" s="8"/>
      <c r="AD81" s="8"/>
    </row>
    <row r="82" spans="1:30" ht="15.5" customHeight="1" x14ac:dyDescent="0.2">
      <c r="A82" s="22" t="s">
        <v>105</v>
      </c>
      <c r="B82" s="75"/>
      <c r="C82" s="75">
        <v>500</v>
      </c>
      <c r="D82" s="75"/>
      <c r="E82" s="75"/>
      <c r="F82" s="75">
        <v>500</v>
      </c>
      <c r="G82" s="29">
        <f t="shared" ref="G82:M82" si="61">180</f>
        <v>180</v>
      </c>
      <c r="H82" s="75"/>
      <c r="I82" s="75">
        <v>500</v>
      </c>
      <c r="J82" s="75"/>
      <c r="K82" s="75"/>
      <c r="L82" s="75">
        <v>500</v>
      </c>
      <c r="M82" s="29">
        <f t="shared" si="61"/>
        <v>180</v>
      </c>
      <c r="N82" s="30">
        <f t="shared" si="29"/>
        <v>2360</v>
      </c>
      <c r="O82" s="25" t="s">
        <v>15</v>
      </c>
      <c r="P82" s="7"/>
      <c r="Q82" s="7"/>
      <c r="R82" s="7"/>
      <c r="S82" s="7"/>
      <c r="T82" s="7"/>
      <c r="U82" s="7"/>
      <c r="V82" s="8"/>
      <c r="W82" s="8"/>
      <c r="X82" s="8"/>
      <c r="Y82" s="8"/>
      <c r="Z82" s="8"/>
      <c r="AA82" s="8"/>
      <c r="AB82" s="8"/>
      <c r="AC82" s="8"/>
      <c r="AD82" s="8"/>
    </row>
    <row r="83" spans="1:30" ht="15.5" customHeight="1" x14ac:dyDescent="0.2">
      <c r="A83" s="13" t="s">
        <v>106</v>
      </c>
      <c r="B83" s="56">
        <f t="shared" ref="B83:M83" si="62">((((((((((((((((((((((B53)+(B54))+(B55))+(B56))+(B57))+(B58))+(B63))+(B64))+(B65))+(B66))+(B67))+(B68))+(B69))+(B70))+(B71))+(B72))+(B73))+(B74))+(B75))+(B76))+(B77))+(B81))+(B82)</f>
        <v>36176.51</v>
      </c>
      <c r="C83" s="56">
        <f t="shared" si="62"/>
        <v>38439.57</v>
      </c>
      <c r="D83" s="56">
        <f t="shared" si="62"/>
        <v>32946.57</v>
      </c>
      <c r="E83" s="56">
        <f t="shared" si="62"/>
        <v>49867.069999999992</v>
      </c>
      <c r="F83" s="56">
        <f t="shared" si="62"/>
        <v>35048.47</v>
      </c>
      <c r="G83" s="56">
        <f t="shared" si="62"/>
        <v>51925.569999999992</v>
      </c>
      <c r="H83" s="56">
        <f t="shared" si="62"/>
        <v>36176.51</v>
      </c>
      <c r="I83" s="56">
        <f t="shared" si="62"/>
        <v>38439.57</v>
      </c>
      <c r="J83" s="56">
        <f t="shared" si="62"/>
        <v>32946.57</v>
      </c>
      <c r="K83" s="56">
        <f t="shared" si="62"/>
        <v>49867.069999999992</v>
      </c>
      <c r="L83" s="56">
        <f t="shared" si="62"/>
        <v>35048.47</v>
      </c>
      <c r="M83" s="56">
        <f t="shared" si="62"/>
        <v>32425.430000000015</v>
      </c>
      <c r="N83" s="56">
        <f t="shared" si="29"/>
        <v>469307.37999999995</v>
      </c>
      <c r="O83" s="7"/>
      <c r="P83" s="7"/>
      <c r="Q83" s="7"/>
      <c r="R83" s="7"/>
      <c r="S83" s="7"/>
      <c r="T83" s="7"/>
      <c r="U83" s="7"/>
      <c r="V83" s="8"/>
      <c r="W83" s="8"/>
      <c r="X83" s="8"/>
      <c r="Y83" s="8"/>
      <c r="Z83" s="8"/>
      <c r="AA83" s="8"/>
      <c r="AB83" s="8"/>
      <c r="AC83" s="8"/>
      <c r="AD83" s="8"/>
    </row>
    <row r="84" spans="1:30" ht="15.5" customHeight="1" x14ac:dyDescent="0.2">
      <c r="A84" s="13" t="s">
        <v>107</v>
      </c>
      <c r="B84" s="56">
        <f t="shared" ref="B84:M84" si="63">((B35)+(B52))+(B83)</f>
        <v>779977.76062500011</v>
      </c>
      <c r="C84" s="56">
        <f t="shared" si="63"/>
        <v>782770.58437499986</v>
      </c>
      <c r="D84" s="56">
        <f t="shared" si="63"/>
        <v>790279.6875</v>
      </c>
      <c r="E84" s="56">
        <f t="shared" si="63"/>
        <v>792938.87937500002</v>
      </c>
      <c r="F84" s="56">
        <f t="shared" si="63"/>
        <v>773339.02999999991</v>
      </c>
      <c r="G84" s="56">
        <f t="shared" si="63"/>
        <v>797521.66500000004</v>
      </c>
      <c r="H84" s="56">
        <f t="shared" si="63"/>
        <v>802111.12187499995</v>
      </c>
      <c r="I84" s="56">
        <f t="shared" si="63"/>
        <v>783502.35875000013</v>
      </c>
      <c r="J84" s="56">
        <f t="shared" si="63"/>
        <v>815989.50937499979</v>
      </c>
      <c r="K84" s="56">
        <f t="shared" si="63"/>
        <v>807214.10999999987</v>
      </c>
      <c r="L84" s="56">
        <f t="shared" si="63"/>
        <v>800056.53187499999</v>
      </c>
      <c r="M84" s="56">
        <f t="shared" si="63"/>
        <v>812363.4075000002</v>
      </c>
      <c r="N84" s="56">
        <f t="shared" si="29"/>
        <v>9538064.6462500002</v>
      </c>
      <c r="O84" s="7"/>
      <c r="P84" s="7"/>
      <c r="Q84" s="7"/>
      <c r="R84" s="7"/>
      <c r="S84" s="7"/>
      <c r="T84" s="7"/>
      <c r="U84" s="7"/>
      <c r="V84" s="8"/>
      <c r="W84" s="8"/>
      <c r="X84" s="8"/>
      <c r="Y84" s="8"/>
      <c r="Z84" s="8"/>
      <c r="AA84" s="8"/>
      <c r="AB84" s="8"/>
      <c r="AC84" s="8"/>
      <c r="AD84" s="8"/>
    </row>
    <row r="85" spans="1:30" ht="15.5" customHeight="1" x14ac:dyDescent="0.2">
      <c r="A85" s="13" t="s">
        <v>108</v>
      </c>
      <c r="B85" s="56">
        <f t="shared" ref="B85:N85" si="64">B17-B84</f>
        <v>89601.764374999912</v>
      </c>
      <c r="C85" s="56">
        <f t="shared" si="64"/>
        <v>72651.430625000154</v>
      </c>
      <c r="D85" s="56">
        <f t="shared" si="64"/>
        <v>53487.962500000023</v>
      </c>
      <c r="E85" s="56">
        <f t="shared" si="64"/>
        <v>60388.295624999912</v>
      </c>
      <c r="F85" s="56">
        <f t="shared" si="64"/>
        <v>69472.280000000028</v>
      </c>
      <c r="G85" s="56">
        <f t="shared" si="64"/>
        <v>56751.748999999953</v>
      </c>
      <c r="H85" s="56">
        <f t="shared" si="64"/>
        <v>56179.913124999963</v>
      </c>
      <c r="I85" s="56">
        <f t="shared" si="64"/>
        <v>36661.989249999984</v>
      </c>
      <c r="J85" s="56">
        <f t="shared" si="64"/>
        <v>52432.505625000224</v>
      </c>
      <c r="K85" s="56">
        <f t="shared" si="64"/>
        <v>35050.720000000088</v>
      </c>
      <c r="L85" s="56">
        <f t="shared" si="64"/>
        <v>57185.203125</v>
      </c>
      <c r="M85" s="56">
        <f t="shared" si="64"/>
        <v>29478.862499999814</v>
      </c>
      <c r="N85" s="56">
        <f t="shared" si="64"/>
        <v>669342.6757500004</v>
      </c>
      <c r="O85" s="7"/>
      <c r="P85" s="7"/>
      <c r="Q85" s="7"/>
      <c r="R85" s="7"/>
      <c r="S85" s="7"/>
      <c r="T85" s="7"/>
      <c r="U85" s="7"/>
      <c r="V85" s="8"/>
      <c r="W85" s="8"/>
      <c r="X85" s="8"/>
      <c r="Y85" s="8"/>
      <c r="Z85" s="8"/>
      <c r="AA85" s="8"/>
      <c r="AB85" s="8"/>
      <c r="AC85" s="8"/>
      <c r="AD85" s="8"/>
    </row>
    <row r="86" spans="1:30" ht="15.5" customHeight="1" x14ac:dyDescent="0.2">
      <c r="A86" s="13" t="s">
        <v>109</v>
      </c>
      <c r="B86" s="33">
        <f t="shared" ref="B86:N86" si="65">(B85)+(0)</f>
        <v>89601.764374999912</v>
      </c>
      <c r="C86" s="33">
        <f t="shared" si="65"/>
        <v>72651.430625000154</v>
      </c>
      <c r="D86" s="33">
        <f t="shared" si="65"/>
        <v>53487.962500000023</v>
      </c>
      <c r="E86" s="33">
        <f t="shared" si="65"/>
        <v>60388.295624999912</v>
      </c>
      <c r="F86" s="33">
        <f t="shared" si="65"/>
        <v>69472.280000000028</v>
      </c>
      <c r="G86" s="33">
        <f t="shared" si="65"/>
        <v>56751.748999999953</v>
      </c>
      <c r="H86" s="33">
        <f t="shared" si="65"/>
        <v>56179.913124999963</v>
      </c>
      <c r="I86" s="33">
        <f t="shared" si="65"/>
        <v>36661.989249999984</v>
      </c>
      <c r="J86" s="33">
        <f t="shared" si="65"/>
        <v>52432.505625000224</v>
      </c>
      <c r="K86" s="33">
        <f t="shared" si="65"/>
        <v>35050.720000000088</v>
      </c>
      <c r="L86" s="33">
        <f t="shared" si="65"/>
        <v>57185.203125</v>
      </c>
      <c r="M86" s="33">
        <f t="shared" si="65"/>
        <v>29478.862499999814</v>
      </c>
      <c r="N86" s="33">
        <f t="shared" si="65"/>
        <v>669342.6757500004</v>
      </c>
      <c r="O86" s="7"/>
      <c r="P86" s="7"/>
      <c r="Q86" s="7"/>
      <c r="R86" s="7"/>
      <c r="S86" s="7"/>
      <c r="T86" s="7"/>
      <c r="U86" s="7"/>
      <c r="V86" s="8"/>
      <c r="W86" s="8"/>
      <c r="X86" s="8"/>
      <c r="Y86" s="8"/>
      <c r="Z86" s="8"/>
      <c r="AA86" s="8"/>
      <c r="AB86" s="8"/>
      <c r="AC86" s="8"/>
      <c r="AD86" s="8"/>
    </row>
    <row r="87" spans="1:30" ht="15.5" customHeight="1" x14ac:dyDescent="0.2">
      <c r="A87" s="84"/>
      <c r="B87" s="85"/>
      <c r="C87" s="7"/>
      <c r="D87" s="7"/>
      <c r="E87" s="7"/>
      <c r="F87" s="7"/>
      <c r="G87" s="7"/>
      <c r="H87" s="85"/>
      <c r="I87" s="7"/>
      <c r="J87" s="7"/>
      <c r="K87" s="7"/>
      <c r="L87" s="7"/>
      <c r="M87" s="7"/>
      <c r="N87" s="86">
        <f>N86/N17</f>
        <v>6.5574210437097741E-2</v>
      </c>
      <c r="O87" s="7"/>
      <c r="P87" s="7"/>
      <c r="Q87" s="7"/>
      <c r="R87" s="7"/>
      <c r="S87" s="7"/>
      <c r="T87" s="7"/>
      <c r="U87" s="7"/>
      <c r="V87" s="8"/>
      <c r="W87" s="8"/>
      <c r="X87" s="8"/>
      <c r="Y87" s="8"/>
      <c r="Z87" s="8"/>
      <c r="AA87" s="8"/>
      <c r="AB87" s="8"/>
      <c r="AC87" s="8"/>
      <c r="AD87" s="8"/>
    </row>
    <row r="88" spans="1:30" ht="15.5" customHeight="1" x14ac:dyDescent="0.2">
      <c r="A88" s="7"/>
      <c r="B88" s="7"/>
      <c r="C88" s="7"/>
      <c r="D88" s="7"/>
      <c r="E88" s="7"/>
      <c r="F88" s="7"/>
      <c r="G88" s="7"/>
      <c r="H88" s="7"/>
      <c r="I88" s="7"/>
      <c r="J88" s="7"/>
      <c r="K88" s="7"/>
      <c r="L88" s="7"/>
      <c r="M88" s="7"/>
      <c r="N88" s="289"/>
      <c r="O88" s="7"/>
      <c r="P88" s="7"/>
      <c r="Q88" s="7"/>
      <c r="R88" s="7"/>
      <c r="S88" s="7"/>
      <c r="T88" s="7"/>
      <c r="U88" s="7"/>
      <c r="V88" s="8"/>
      <c r="W88" s="8"/>
      <c r="X88" s="8"/>
      <c r="Y88" s="8"/>
      <c r="Z88" s="8"/>
      <c r="AA88" s="8"/>
      <c r="AB88" s="8"/>
      <c r="AC88" s="8"/>
      <c r="AD88" s="8"/>
    </row>
    <row r="89" spans="1:30" ht="16" customHeight="1" x14ac:dyDescent="0.2">
      <c r="N89" s="288"/>
    </row>
  </sheetData>
  <dataValidations count="1">
    <dataValidation type="list" allowBlank="1" showInputMessage="1" showErrorMessage="1" sqref="R5" xr:uid="{00000000-0002-0000-0100-000000000000}">
      <formula1>"2022-23,2023-24,2024-25,2025-26,2026-27,2027-28,2028-29,2030-31,2031-32,2032-33"</formula1>
    </dataValidation>
  </dataValidations>
  <pageMargins left="0.2" right="0.2" top="0.5" bottom="0.5" header="0.3" footer="0.3"/>
  <pageSetup orientation="landscape"/>
  <headerFooter>
    <oddFooter>&amp;L&amp;"Calibri,Regular"&amp;12&amp;K000000New Budget Template 2022 2023 v51122(1).xlsx&amp;C&amp;"Calibri,Regular"&amp;12&amp;K000000Proposed Budget&amp;R&amp;"Calibri,Regular"&amp;12&amp;K000000Page &amp;P of &amp;N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CCCCFF"/>
    <pageSetUpPr fitToPage="1"/>
  </sheetPr>
  <dimension ref="A1:L113"/>
  <sheetViews>
    <sheetView showGridLines="0" zoomScale="125" workbookViewId="0">
      <pane ySplit="6" topLeftCell="A10" activePane="bottomLeft" state="frozen"/>
      <selection pane="bottomLeft" activeCell="B69" sqref="B69"/>
    </sheetView>
  </sheetViews>
  <sheetFormatPr baseColWidth="10" defaultColWidth="9" defaultRowHeight="15" customHeight="1" x14ac:dyDescent="0.2"/>
  <cols>
    <col min="1" max="1" width="35.6640625" style="5" customWidth="1"/>
    <col min="2" max="5" width="17.1640625" style="5" customWidth="1"/>
    <col min="6" max="12" width="18.1640625" style="5" customWidth="1"/>
    <col min="13" max="13" width="9" style="5" customWidth="1"/>
    <col min="14" max="16384" width="9" style="5"/>
  </cols>
  <sheetData>
    <row r="1" spans="1:12" ht="15.5" customHeight="1" x14ac:dyDescent="0.2">
      <c r="A1" s="6" t="s">
        <v>6</v>
      </c>
      <c r="B1" s="87"/>
      <c r="C1" s="87"/>
      <c r="D1" s="87"/>
      <c r="E1" s="87"/>
      <c r="F1" s="7"/>
      <c r="G1" s="7"/>
      <c r="H1" s="7"/>
      <c r="I1" s="7"/>
      <c r="J1" s="7"/>
      <c r="K1" s="7"/>
      <c r="L1" s="7"/>
    </row>
    <row r="2" spans="1:12" ht="15.5" customHeight="1" x14ac:dyDescent="0.2">
      <c r="A2" s="9" t="s">
        <v>111</v>
      </c>
      <c r="B2" s="87"/>
      <c r="C2" s="87"/>
      <c r="D2" s="87"/>
      <c r="E2" s="87"/>
      <c r="F2" s="7"/>
      <c r="G2" s="7"/>
      <c r="H2" s="7"/>
      <c r="I2" s="7"/>
      <c r="J2" s="7"/>
      <c r="K2" s="7"/>
      <c r="L2" s="7"/>
    </row>
    <row r="3" spans="1:12" ht="15.5" customHeight="1" x14ac:dyDescent="0.2">
      <c r="A3" s="88"/>
      <c r="B3" s="89"/>
      <c r="C3" s="89"/>
      <c r="D3" s="89"/>
      <c r="E3" s="89"/>
      <c r="F3" s="7"/>
      <c r="G3" s="7"/>
      <c r="H3" s="7"/>
      <c r="I3" s="7"/>
      <c r="J3" s="7"/>
      <c r="K3" s="7"/>
      <c r="L3" s="7"/>
    </row>
    <row r="4" spans="1:12" ht="16" customHeight="1" x14ac:dyDescent="0.2">
      <c r="A4" s="90"/>
      <c r="B4" s="91" t="s">
        <v>15</v>
      </c>
      <c r="C4" s="273"/>
      <c r="D4" s="273"/>
      <c r="E4" s="273"/>
      <c r="F4" s="92"/>
      <c r="G4" s="11"/>
      <c r="H4" s="11"/>
      <c r="I4" s="11"/>
      <c r="J4" s="11"/>
      <c r="K4" s="11"/>
      <c r="L4" s="11"/>
    </row>
    <row r="5" spans="1:12" ht="13.25" customHeight="1" x14ac:dyDescent="0.2">
      <c r="A5" s="93"/>
      <c r="B5" s="94" t="str">
        <f>CONCATENATE(" Budget ",'Proposed Budget'!$R$5)</f>
        <v xml:space="preserve"> Budget 2025-26</v>
      </c>
      <c r="C5" s="394" t="s">
        <v>476</v>
      </c>
      <c r="D5" s="394" t="s">
        <v>475</v>
      </c>
      <c r="E5" s="95" t="s">
        <v>349</v>
      </c>
      <c r="F5" s="95" t="s">
        <v>348</v>
      </c>
      <c r="G5" s="95" t="s">
        <v>112</v>
      </c>
      <c r="H5" s="95" t="s">
        <v>113</v>
      </c>
      <c r="I5" s="95" t="s">
        <v>114</v>
      </c>
      <c r="J5" s="95" t="s">
        <v>115</v>
      </c>
      <c r="K5" s="95" t="s">
        <v>116</v>
      </c>
      <c r="L5" s="96" t="s">
        <v>117</v>
      </c>
    </row>
    <row r="6" spans="1:12" ht="12.75" customHeight="1" x14ac:dyDescent="0.2">
      <c r="A6" s="93"/>
      <c r="B6" s="97" t="s">
        <v>118</v>
      </c>
      <c r="C6" s="274"/>
      <c r="D6" s="274" t="s">
        <v>351</v>
      </c>
      <c r="E6" s="274" t="s">
        <v>350</v>
      </c>
      <c r="F6" s="98" t="s">
        <v>347</v>
      </c>
      <c r="G6" s="99" t="s">
        <v>119</v>
      </c>
      <c r="H6" s="99" t="s">
        <v>120</v>
      </c>
      <c r="I6" s="99" t="s">
        <v>121</v>
      </c>
      <c r="J6" s="99" t="s">
        <v>122</v>
      </c>
      <c r="K6" s="99" t="s">
        <v>123</v>
      </c>
      <c r="L6" s="99" t="s">
        <v>124</v>
      </c>
    </row>
    <row r="7" spans="1:12" ht="15.5" customHeight="1" x14ac:dyDescent="0.2">
      <c r="A7" s="100" t="s">
        <v>8</v>
      </c>
      <c r="B7" s="101"/>
      <c r="C7" s="281"/>
      <c r="D7" s="281" t="s">
        <v>199</v>
      </c>
      <c r="E7" s="281"/>
      <c r="F7" s="401"/>
      <c r="G7" s="102"/>
      <c r="H7" s="15"/>
      <c r="I7" s="102"/>
      <c r="J7" s="102"/>
      <c r="K7" s="102"/>
      <c r="L7" s="102"/>
    </row>
    <row r="8" spans="1:12" ht="15.5" customHeight="1" x14ac:dyDescent="0.2">
      <c r="A8" s="100" t="s">
        <v>14</v>
      </c>
      <c r="B8" s="276"/>
      <c r="C8" s="402"/>
      <c r="D8" s="402"/>
      <c r="E8" s="403"/>
      <c r="F8" s="404"/>
      <c r="G8" s="396"/>
      <c r="H8" s="7"/>
      <c r="I8" s="62"/>
      <c r="J8" s="40">
        <f>1000</f>
        <v>1000</v>
      </c>
      <c r="K8" s="62"/>
      <c r="L8" s="62"/>
    </row>
    <row r="9" spans="1:12" ht="12.75" customHeight="1" x14ac:dyDescent="0.2">
      <c r="A9" s="100" t="s">
        <v>16</v>
      </c>
      <c r="B9" s="276"/>
      <c r="C9" s="402">
        <v>94351.9</v>
      </c>
      <c r="D9" s="402">
        <v>89960.9</v>
      </c>
      <c r="E9" s="405">
        <f>112081.02</f>
        <v>112081.02</v>
      </c>
      <c r="F9" s="405">
        <f>153176.93</f>
        <v>153176.93</v>
      </c>
      <c r="G9" s="39">
        <f>64745.93</f>
        <v>64745.93</v>
      </c>
      <c r="H9" s="40">
        <f>88163.16</f>
        <v>88163.16</v>
      </c>
      <c r="I9" s="40">
        <f>46572.55</f>
        <v>46572.55</v>
      </c>
      <c r="J9" s="40">
        <f>70675.63</f>
        <v>70675.63</v>
      </c>
      <c r="K9" s="40">
        <f>66885.91</f>
        <v>66885.91</v>
      </c>
      <c r="L9" s="40">
        <f>65257.53</f>
        <v>65257.53</v>
      </c>
    </row>
    <row r="10" spans="1:12" ht="12.75" customHeight="1" x14ac:dyDescent="0.2">
      <c r="A10" s="100" t="s">
        <v>125</v>
      </c>
      <c r="B10" s="276"/>
      <c r="C10" s="402">
        <v>15829.71</v>
      </c>
      <c r="D10" s="402">
        <v>20624.5</v>
      </c>
      <c r="E10" s="405">
        <f>16841.13</f>
        <v>16841.13</v>
      </c>
      <c r="F10" s="405">
        <f>1667.71</f>
        <v>1667.71</v>
      </c>
      <c r="G10" s="51">
        <f>62023.3</f>
        <v>62023.3</v>
      </c>
      <c r="H10" s="52">
        <f>39958.99</f>
        <v>39958.99</v>
      </c>
      <c r="I10" s="52">
        <f>12634.33</f>
        <v>12634.33</v>
      </c>
      <c r="J10" s="52">
        <f>13689.25</f>
        <v>13689.25</v>
      </c>
      <c r="K10" s="52">
        <f>6846.14</f>
        <v>6846.14</v>
      </c>
      <c r="L10" s="52">
        <f>21075.25</f>
        <v>21075.25</v>
      </c>
    </row>
    <row r="11" spans="1:12" ht="12.75" customHeight="1" x14ac:dyDescent="0.2">
      <c r="A11" s="100" t="s">
        <v>19</v>
      </c>
      <c r="B11" s="276"/>
      <c r="C11" s="402">
        <v>110681.61</v>
      </c>
      <c r="D11" s="402">
        <v>110585.4</v>
      </c>
      <c r="E11" s="406">
        <f>((E8)+(E9))+(E10)</f>
        <v>128922.15000000001</v>
      </c>
      <c r="F11" s="407">
        <f t="shared" ref="F11:L11" si="0">((F8)+(F9))+(F10)</f>
        <v>154844.63999999998</v>
      </c>
      <c r="G11" s="397">
        <f t="shared" si="0"/>
        <v>126769.23000000001</v>
      </c>
      <c r="H11" s="33">
        <f t="shared" si="0"/>
        <v>128122.15</v>
      </c>
      <c r="I11" s="33">
        <f t="shared" si="0"/>
        <v>59206.880000000005</v>
      </c>
      <c r="J11" s="33">
        <f t="shared" si="0"/>
        <v>85364.88</v>
      </c>
      <c r="K11" s="33">
        <f t="shared" si="0"/>
        <v>73732.05</v>
      </c>
      <c r="L11" s="33">
        <f t="shared" si="0"/>
        <v>86332.78</v>
      </c>
    </row>
    <row r="12" spans="1:12" ht="12.75" customHeight="1" x14ac:dyDescent="0.2">
      <c r="A12" s="100" t="s">
        <v>23</v>
      </c>
      <c r="B12" s="276"/>
      <c r="C12" s="402">
        <v>6419949.0800000001</v>
      </c>
      <c r="D12" s="402">
        <v>6140515.1799999997</v>
      </c>
      <c r="E12" s="405">
        <f>4757694.34</f>
        <v>4757694.34</v>
      </c>
      <c r="F12" s="405">
        <f>3846490.16</f>
        <v>3846490.16</v>
      </c>
      <c r="G12" s="39">
        <f>3972901.57</f>
        <v>3972901.57</v>
      </c>
      <c r="H12" s="40">
        <f>3545504.64</f>
        <v>3545504.64</v>
      </c>
      <c r="I12" s="40">
        <f>3269292.56</f>
        <v>3269292.56</v>
      </c>
      <c r="J12" s="40">
        <f>3303747.93</f>
        <v>3303747.93</v>
      </c>
      <c r="K12" s="40">
        <f>3030365.35</f>
        <v>3030365.35</v>
      </c>
      <c r="L12" s="40">
        <f>2330650.51</f>
        <v>2330650.5099999998</v>
      </c>
    </row>
    <row r="13" spans="1:12" ht="12.75" customHeight="1" x14ac:dyDescent="0.2">
      <c r="A13" s="100" t="s">
        <v>26</v>
      </c>
      <c r="B13" s="276"/>
      <c r="C13" s="402">
        <v>471452.86</v>
      </c>
      <c r="D13" s="402">
        <v>419367.58</v>
      </c>
      <c r="E13" s="405">
        <f>345126.37</f>
        <v>345126.37</v>
      </c>
      <c r="F13" s="405">
        <f>337574.89</f>
        <v>337574.89</v>
      </c>
      <c r="G13" s="39">
        <f>444155.26</f>
        <v>444155.26</v>
      </c>
      <c r="H13" s="40">
        <f>532823.89</f>
        <v>532823.89</v>
      </c>
      <c r="I13" s="40">
        <f>422446.73</f>
        <v>422446.73</v>
      </c>
      <c r="J13" s="40">
        <f>320731.96</f>
        <v>320731.96000000002</v>
      </c>
      <c r="K13" s="40">
        <f>211551.85</f>
        <v>211551.85</v>
      </c>
      <c r="L13" s="40">
        <f>83329.77</f>
        <v>83329.77</v>
      </c>
    </row>
    <row r="14" spans="1:12" ht="12.75" customHeight="1" x14ac:dyDescent="0.2">
      <c r="A14" s="100" t="s">
        <v>126</v>
      </c>
      <c r="B14" s="276"/>
      <c r="C14" s="402"/>
      <c r="D14" s="402">
        <v>0</v>
      </c>
      <c r="E14" s="405">
        <f>48031.52</f>
        <v>48031.519999999997</v>
      </c>
      <c r="F14" s="405">
        <f>600</f>
        <v>600</v>
      </c>
      <c r="G14" s="39">
        <f>658232.38</f>
        <v>658232.38</v>
      </c>
      <c r="H14" s="40">
        <f>965064.74</f>
        <v>965064.74</v>
      </c>
      <c r="I14" s="40">
        <f>338339.29</f>
        <v>338339.29</v>
      </c>
      <c r="J14" s="62"/>
      <c r="K14" s="40"/>
      <c r="L14" s="40"/>
    </row>
    <row r="15" spans="1:12" ht="12.75" customHeight="1" x14ac:dyDescent="0.2">
      <c r="A15" s="100" t="s">
        <v>127</v>
      </c>
      <c r="B15" s="276"/>
      <c r="C15" s="402"/>
      <c r="D15" s="402">
        <v>0</v>
      </c>
      <c r="E15" s="405">
        <f>58740</f>
        <v>58740</v>
      </c>
      <c r="F15" s="405">
        <f>106581.64</f>
        <v>106581.64</v>
      </c>
      <c r="G15" s="39">
        <f>144083.2</f>
        <v>144083.20000000001</v>
      </c>
      <c r="H15" s="40">
        <f>67373.86</f>
        <v>67373.86</v>
      </c>
      <c r="I15" s="40">
        <f>76278.7</f>
        <v>76278.7</v>
      </c>
      <c r="J15" s="62"/>
      <c r="K15" s="40"/>
      <c r="L15" s="40"/>
    </row>
    <row r="16" spans="1:12" ht="12.75" customHeight="1" x14ac:dyDescent="0.2">
      <c r="A16" s="103" t="s">
        <v>128</v>
      </c>
      <c r="B16" s="277"/>
      <c r="C16" s="402"/>
      <c r="D16" s="402">
        <v>0</v>
      </c>
      <c r="E16" s="405">
        <f>319572.01</f>
        <v>319572.01</v>
      </c>
      <c r="F16" s="405">
        <f>120048</f>
        <v>120048</v>
      </c>
      <c r="G16" s="39">
        <f>79260</f>
        <v>79260</v>
      </c>
      <c r="H16" s="40">
        <f>112380</f>
        <v>112380</v>
      </c>
      <c r="I16" s="40">
        <f>58680</f>
        <v>58680</v>
      </c>
      <c r="J16" s="62"/>
      <c r="K16" s="40"/>
      <c r="L16" s="40"/>
    </row>
    <row r="17" spans="1:12" ht="12.75" customHeight="1" x14ac:dyDescent="0.2">
      <c r="A17" s="104" t="s">
        <v>29</v>
      </c>
      <c r="B17" s="278">
        <v>0</v>
      </c>
      <c r="C17" s="408">
        <v>0</v>
      </c>
      <c r="D17" s="408">
        <v>0</v>
      </c>
      <c r="E17" s="405">
        <f>619710.37</f>
        <v>619710.37</v>
      </c>
      <c r="F17" s="405">
        <f>398376.46</f>
        <v>398376.46</v>
      </c>
      <c r="G17" s="39">
        <f>308965.95</f>
        <v>308965.95</v>
      </c>
      <c r="H17" s="40">
        <f>274005.54</f>
        <v>274005.53999999998</v>
      </c>
      <c r="I17" s="40">
        <f>253492.08</f>
        <v>253492.08</v>
      </c>
      <c r="J17" s="40">
        <f>255156.11</f>
        <v>255156.11</v>
      </c>
      <c r="K17" s="40">
        <f>254590.76</f>
        <v>254590.76</v>
      </c>
      <c r="L17" s="40">
        <f>218516.55</f>
        <v>218516.55</v>
      </c>
    </row>
    <row r="18" spans="1:12" ht="12.75" customHeight="1" x14ac:dyDescent="0.2">
      <c r="A18" s="105" t="s">
        <v>397</v>
      </c>
      <c r="B18" s="279"/>
      <c r="C18" s="409">
        <v>745794.78</v>
      </c>
      <c r="D18" s="409">
        <v>657245.06999999995</v>
      </c>
      <c r="E18" s="405">
        <f>458.83</f>
        <v>458.83</v>
      </c>
      <c r="F18" s="405">
        <f>875157.5</f>
        <v>875157.5</v>
      </c>
      <c r="G18" s="39">
        <f>224427.2</f>
        <v>224427.2</v>
      </c>
      <c r="H18" s="62"/>
      <c r="I18" s="40"/>
      <c r="J18" s="40"/>
      <c r="K18" s="40"/>
      <c r="L18" s="40"/>
    </row>
    <row r="19" spans="1:12" ht="12.75" customHeight="1" x14ac:dyDescent="0.2">
      <c r="A19" s="104" t="s">
        <v>31</v>
      </c>
      <c r="B19" s="278">
        <v>731.8</v>
      </c>
      <c r="C19" s="408">
        <v>632.16999999999996</v>
      </c>
      <c r="D19" s="408">
        <v>651.32000000000005</v>
      </c>
      <c r="E19" s="405">
        <f>9108.02</f>
        <v>9108.02</v>
      </c>
      <c r="F19" s="405">
        <f>579.58</f>
        <v>579.58000000000004</v>
      </c>
      <c r="G19" s="39">
        <f>1121.1</f>
        <v>1121.0999999999999</v>
      </c>
      <c r="H19" s="40">
        <f>815.55</f>
        <v>815.55</v>
      </c>
      <c r="I19" s="40">
        <f>884.04</f>
        <v>884.04</v>
      </c>
      <c r="J19" s="40">
        <f>911.44</f>
        <v>911.44</v>
      </c>
      <c r="K19" s="40">
        <f>636.22</f>
        <v>636.22</v>
      </c>
      <c r="L19" s="40">
        <f>501.81</f>
        <v>501.81</v>
      </c>
    </row>
    <row r="20" spans="1:12" ht="12.75" customHeight="1" x14ac:dyDescent="0.2">
      <c r="A20" s="104" t="s">
        <v>33</v>
      </c>
      <c r="B20" s="278">
        <v>-50</v>
      </c>
      <c r="C20" s="408">
        <v>2051.88</v>
      </c>
      <c r="D20" s="408">
        <v>1207.4100000000001</v>
      </c>
      <c r="E20" s="405">
        <f>1380.4</f>
        <v>1380.4</v>
      </c>
      <c r="F20" s="405">
        <f>2286.9</f>
        <v>2286.9</v>
      </c>
      <c r="G20" s="39"/>
      <c r="H20" s="40"/>
      <c r="I20" s="40"/>
      <c r="J20" s="40"/>
      <c r="K20" s="62"/>
      <c r="L20" s="40">
        <f>2515</f>
        <v>2515</v>
      </c>
    </row>
    <row r="21" spans="1:12" ht="12.75" customHeight="1" x14ac:dyDescent="0.2">
      <c r="A21" s="106" t="s">
        <v>129</v>
      </c>
      <c r="B21" s="275"/>
      <c r="C21" s="402"/>
      <c r="D21" s="402">
        <v>0</v>
      </c>
      <c r="E21" s="405">
        <f>3463.6</f>
        <v>3463.6</v>
      </c>
      <c r="F21" s="405">
        <f>-25</f>
        <v>-25</v>
      </c>
      <c r="G21" s="39">
        <f t="shared" ref="G21:L36" si="1">0</f>
        <v>0</v>
      </c>
      <c r="H21" s="40">
        <f>3091</f>
        <v>3091</v>
      </c>
      <c r="I21" s="40">
        <f>3368.28</f>
        <v>3368.28</v>
      </c>
      <c r="J21" s="40">
        <f>3449</f>
        <v>3449</v>
      </c>
      <c r="K21" s="40">
        <f>2058.07</f>
        <v>2058.0700000000002</v>
      </c>
      <c r="L21" s="62"/>
    </row>
    <row r="22" spans="1:12" ht="12.75" customHeight="1" x14ac:dyDescent="0.2">
      <c r="A22" s="107" t="s">
        <v>130</v>
      </c>
      <c r="B22" s="286"/>
      <c r="C22" s="410">
        <v>8002258.1399999997</v>
      </c>
      <c r="D22" s="410">
        <v>7699293.6799999997</v>
      </c>
      <c r="E22" s="406">
        <f>((((((((((E11)+(E12))+(E13))+(E14))+(E15))+(E16))+(E17))+(E18))+(E19))+(E20))+(E21)</f>
        <v>6292207.6099999994</v>
      </c>
      <c r="F22" s="405">
        <f>303.03</f>
        <v>303.02999999999997</v>
      </c>
      <c r="G22" s="51"/>
      <c r="H22" s="52"/>
      <c r="I22" s="108"/>
      <c r="J22" s="52">
        <f>4.59</f>
        <v>4.59</v>
      </c>
      <c r="K22" s="52">
        <f>776.77</f>
        <v>776.77</v>
      </c>
      <c r="L22" s="108"/>
    </row>
    <row r="23" spans="1:12" ht="12.75" customHeight="1" x14ac:dyDescent="0.2">
      <c r="A23" s="100" t="s">
        <v>35</v>
      </c>
      <c r="B23" s="276"/>
      <c r="C23" s="402"/>
      <c r="D23" s="402"/>
      <c r="E23" s="406">
        <f>(E22)-(0)</f>
        <v>6292207.6099999994</v>
      </c>
      <c r="F23" s="406">
        <f>(((((((((((F11)+(F12))+(F13))+(F14))+(F15))+(F16))+(F17))+(F18))+(F19))+(F20))+(F21))+(F22)</f>
        <v>5842817.8000000007</v>
      </c>
      <c r="G23" s="398">
        <f>(((((((((G11)+(G12))+(G13))+(G14))+(G15))+(G16))+(G17))+(G18))+(G19))+(G21)</f>
        <v>5959915.8899999997</v>
      </c>
      <c r="H23" s="56">
        <f>(((((((((H11)+(H12))+(H13))+(H14))+(H15))+(H16))+(H17))+(H18))+(H19))+(H21)</f>
        <v>5629181.3700000001</v>
      </c>
      <c r="I23" s="56">
        <f>(((((((((I11)+(I12))+(I13))+(I14))+(I15))+(I16))+(I17))+(I19))+(I21))+(I22)</f>
        <v>4481988.5600000005</v>
      </c>
      <c r="J23" s="56">
        <f>(((((((((J11)+(J12))+(J13))+(J14))+(J15))+(J16))+(J17))+(J19))+(J21))+(J22)</f>
        <v>3969365.9099999997</v>
      </c>
      <c r="K23" s="56">
        <f>(((((((K11)+(K12))+(K13))+(K17))+(K19))+(K20))+(K21))+(K22)</f>
        <v>3573711.07</v>
      </c>
      <c r="L23" s="56">
        <f>(((((((L11)+(L12))+(L13))+(L17))+(L19))+(L20))+(L21))+(L22)</f>
        <v>2721846.4199999995</v>
      </c>
    </row>
    <row r="24" spans="1:12" ht="12.75" customHeight="1" x14ac:dyDescent="0.2">
      <c r="A24" s="100" t="s">
        <v>37</v>
      </c>
      <c r="B24" s="276"/>
      <c r="C24" s="402">
        <v>8002258.1399999997</v>
      </c>
      <c r="D24" s="402">
        <v>7699293.6799999997</v>
      </c>
      <c r="E24" s="406">
        <f>(E23)-(0)</f>
        <v>6292207.6099999994</v>
      </c>
      <c r="F24" s="406">
        <f>(F23)-(0)</f>
        <v>5842817.8000000007</v>
      </c>
      <c r="G24" s="397">
        <f t="shared" ref="G24:L24" si="2">(G23)-(0)</f>
        <v>5959915.8899999997</v>
      </c>
      <c r="H24" s="33">
        <f t="shared" si="2"/>
        <v>5629181.3700000001</v>
      </c>
      <c r="I24" s="33">
        <f t="shared" si="2"/>
        <v>4481988.5600000005</v>
      </c>
      <c r="J24" s="33">
        <f t="shared" si="2"/>
        <v>3969365.9099999997</v>
      </c>
      <c r="K24" s="33">
        <f t="shared" si="2"/>
        <v>3573711.07</v>
      </c>
      <c r="L24" s="33">
        <f t="shared" si="2"/>
        <v>2721846.4199999995</v>
      </c>
    </row>
    <row r="25" spans="1:12" ht="12.75" customHeight="1" x14ac:dyDescent="0.2">
      <c r="A25" s="100" t="s">
        <v>38</v>
      </c>
      <c r="B25" s="276"/>
      <c r="C25" s="402"/>
      <c r="D25" s="402"/>
      <c r="E25" s="411"/>
      <c r="F25" s="404"/>
      <c r="G25" s="396"/>
      <c r="H25" s="62"/>
      <c r="I25" s="62"/>
      <c r="J25" s="62"/>
      <c r="K25" s="62"/>
      <c r="L25" s="62"/>
    </row>
    <row r="26" spans="1:12" ht="12.75" customHeight="1" x14ac:dyDescent="0.2">
      <c r="A26" s="100" t="s">
        <v>39</v>
      </c>
      <c r="B26" s="276"/>
      <c r="C26" s="402"/>
      <c r="D26" s="402"/>
      <c r="E26" s="405">
        <f>407.32</f>
        <v>407.32</v>
      </c>
      <c r="F26" s="405"/>
      <c r="G26" s="396"/>
      <c r="H26" s="62"/>
      <c r="I26" s="40">
        <f>1452.7</f>
        <v>1452.7</v>
      </c>
      <c r="J26" s="40">
        <f>799.98</f>
        <v>799.98</v>
      </c>
      <c r="K26" s="40">
        <f>509.26</f>
        <v>509.26</v>
      </c>
      <c r="L26" s="40">
        <f>1014.52</f>
        <v>1014.52</v>
      </c>
    </row>
    <row r="27" spans="1:12" ht="12.75" customHeight="1" x14ac:dyDescent="0.2">
      <c r="A27" s="100" t="s">
        <v>40</v>
      </c>
      <c r="B27" s="276"/>
      <c r="C27" s="402">
        <v>20749.8</v>
      </c>
      <c r="D27" s="402">
        <v>25113.439999999999</v>
      </c>
      <c r="E27" s="405">
        <f>17616.38</f>
        <v>17616.38</v>
      </c>
      <c r="F27" s="405">
        <f>1915.47</f>
        <v>1915.47</v>
      </c>
      <c r="G27" s="39">
        <f>-1017.99</f>
        <v>-1017.99</v>
      </c>
      <c r="H27" s="40">
        <f>13757.97</f>
        <v>13757.97</v>
      </c>
      <c r="I27" s="40">
        <f>15768.02</f>
        <v>15768.02</v>
      </c>
      <c r="J27" s="40">
        <f>16795.36</f>
        <v>16795.36</v>
      </c>
      <c r="K27" s="40">
        <f>10416.97</f>
        <v>10416.969999999999</v>
      </c>
      <c r="L27" s="40">
        <f>11546.81</f>
        <v>11546.81</v>
      </c>
    </row>
    <row r="28" spans="1:12" ht="12.75" customHeight="1" x14ac:dyDescent="0.2">
      <c r="A28" s="100" t="s">
        <v>41</v>
      </c>
      <c r="B28" s="276"/>
      <c r="C28" s="402">
        <v>7</v>
      </c>
      <c r="D28" s="402">
        <v>307.07</v>
      </c>
      <c r="E28" s="405">
        <f>983.2</f>
        <v>983.2</v>
      </c>
      <c r="F28" s="405">
        <f>395.83</f>
        <v>395.83</v>
      </c>
      <c r="G28" s="39">
        <f>-309.92</f>
        <v>-309.92</v>
      </c>
      <c r="H28" s="40">
        <f>137.5</f>
        <v>137.5</v>
      </c>
      <c r="I28" s="62"/>
      <c r="J28" s="40">
        <f>106.09</f>
        <v>106.09</v>
      </c>
      <c r="K28" s="62"/>
      <c r="L28" s="40">
        <f>540.5</f>
        <v>540.5</v>
      </c>
    </row>
    <row r="29" spans="1:12" ht="12.75" customHeight="1" x14ac:dyDescent="0.2">
      <c r="A29" s="100" t="s">
        <v>42</v>
      </c>
      <c r="B29" s="276"/>
      <c r="C29" s="402">
        <v>105887.5</v>
      </c>
      <c r="D29" s="402">
        <v>93568</v>
      </c>
      <c r="E29" s="405">
        <f>99634</f>
        <v>99634</v>
      </c>
      <c r="F29" s="405">
        <f>109978.5</f>
        <v>109978.5</v>
      </c>
      <c r="G29" s="39">
        <f>127816</f>
        <v>127816</v>
      </c>
      <c r="H29" s="40">
        <f>148379.84</f>
        <v>148379.84</v>
      </c>
      <c r="I29" s="40">
        <f>211191.5</f>
        <v>211191.5</v>
      </c>
      <c r="J29" s="40">
        <f>261405.78</f>
        <v>261405.78</v>
      </c>
      <c r="K29" s="40">
        <f>198201.67</f>
        <v>198201.67</v>
      </c>
      <c r="L29" s="40">
        <f>162774.06</f>
        <v>162774.06</v>
      </c>
    </row>
    <row r="30" spans="1:12" ht="12.75" customHeight="1" x14ac:dyDescent="0.2">
      <c r="A30" s="100" t="s">
        <v>43</v>
      </c>
      <c r="B30" s="276"/>
      <c r="C30" s="402">
        <v>253.4</v>
      </c>
      <c r="D30" s="402"/>
      <c r="E30" s="411"/>
      <c r="F30" s="405">
        <f>1321.41</f>
        <v>1321.41</v>
      </c>
      <c r="G30" s="39">
        <f>-50.97</f>
        <v>-50.97</v>
      </c>
      <c r="H30" s="40">
        <f>949.39</f>
        <v>949.39</v>
      </c>
      <c r="I30" s="40">
        <f>60.6</f>
        <v>60.6</v>
      </c>
      <c r="J30" s="40">
        <f>296.21</f>
        <v>296.20999999999998</v>
      </c>
      <c r="K30" s="62"/>
      <c r="L30" s="62"/>
    </row>
    <row r="31" spans="1:12" ht="12.75" customHeight="1" x14ac:dyDescent="0.2">
      <c r="A31" s="100" t="s">
        <v>44</v>
      </c>
      <c r="B31" s="276"/>
      <c r="C31" s="402">
        <v>983.37</v>
      </c>
      <c r="D31" s="402">
        <v>1063</v>
      </c>
      <c r="E31" s="405">
        <f>958.43</f>
        <v>958.43</v>
      </c>
      <c r="F31" s="405">
        <f>-6218.86</f>
        <v>-6218.86</v>
      </c>
      <c r="G31" s="39">
        <f>1520.49</f>
        <v>1520.49</v>
      </c>
      <c r="H31" s="40">
        <f>1650.48</f>
        <v>1650.48</v>
      </c>
      <c r="I31" s="40">
        <f>1155.09</f>
        <v>1155.0899999999999</v>
      </c>
      <c r="J31" s="40">
        <f>1211.32</f>
        <v>1211.32</v>
      </c>
      <c r="K31" s="40">
        <f>1179.81</f>
        <v>1179.81</v>
      </c>
      <c r="L31" s="40">
        <f>495.99</f>
        <v>495.99</v>
      </c>
    </row>
    <row r="32" spans="1:12" ht="12.75" customHeight="1" x14ac:dyDescent="0.2">
      <c r="A32" s="100" t="s">
        <v>45</v>
      </c>
      <c r="B32" s="276"/>
      <c r="C32" s="402">
        <v>-4362.16</v>
      </c>
      <c r="D32" s="402">
        <v>-1890.2</v>
      </c>
      <c r="E32" s="405">
        <f>-1026.79</f>
        <v>-1026.79</v>
      </c>
      <c r="F32" s="405">
        <f>569.96</f>
        <v>569.96</v>
      </c>
      <c r="G32" s="39">
        <f>-5528.32</f>
        <v>-5528.32</v>
      </c>
      <c r="H32" s="40">
        <f>-6914.11</f>
        <v>-6914.11</v>
      </c>
      <c r="I32" s="40">
        <f>-6602.69</f>
        <v>-6602.69</v>
      </c>
      <c r="J32" s="40">
        <f>-2732.27</f>
        <v>-2732.27</v>
      </c>
      <c r="K32" s="40">
        <f>11216.22</f>
        <v>11216.22</v>
      </c>
      <c r="L32" s="40">
        <f t="shared" si="1"/>
        <v>0</v>
      </c>
    </row>
    <row r="33" spans="1:12" ht="12.75" customHeight="1" x14ac:dyDescent="0.2">
      <c r="A33" s="100" t="s">
        <v>46</v>
      </c>
      <c r="B33" s="276"/>
      <c r="C33" s="402">
        <v>552</v>
      </c>
      <c r="D33" s="402"/>
      <c r="E33" s="405">
        <f>552</f>
        <v>552</v>
      </c>
      <c r="F33" s="405">
        <f>4194.21</f>
        <v>4194.21</v>
      </c>
      <c r="G33" s="39">
        <f>379.98</f>
        <v>379.98</v>
      </c>
      <c r="H33" s="40">
        <f>576.29</f>
        <v>576.29</v>
      </c>
      <c r="I33" s="40">
        <f>423.25</f>
        <v>423.25</v>
      </c>
      <c r="J33" s="40">
        <f>617.9</f>
        <v>617.9</v>
      </c>
      <c r="K33" s="40">
        <f>480.29</f>
        <v>480.29</v>
      </c>
      <c r="L33" s="40">
        <f>365.22</f>
        <v>365.22</v>
      </c>
    </row>
    <row r="34" spans="1:12" ht="12.75" customHeight="1" x14ac:dyDescent="0.2">
      <c r="A34" s="100" t="s">
        <v>47</v>
      </c>
      <c r="B34" s="276"/>
      <c r="C34" s="402">
        <v>7021.56</v>
      </c>
      <c r="D34" s="402"/>
      <c r="E34" s="405">
        <f>8293.43</f>
        <v>8293.43</v>
      </c>
      <c r="F34" s="405">
        <f>59.09</f>
        <v>59.09</v>
      </c>
      <c r="G34" s="39">
        <f>5200.77</f>
        <v>5200.7700000000004</v>
      </c>
      <c r="H34" s="40">
        <f>5548.76</f>
        <v>5548.76</v>
      </c>
      <c r="I34" s="40">
        <f>4920.26</f>
        <v>4920.26</v>
      </c>
      <c r="J34" s="40">
        <f>5994.17</f>
        <v>5994.17</v>
      </c>
      <c r="K34" s="40">
        <f>3440.99</f>
        <v>3440.99</v>
      </c>
      <c r="L34" s="40">
        <f>1627.93</f>
        <v>1627.93</v>
      </c>
    </row>
    <row r="35" spans="1:12" ht="12.75" customHeight="1" x14ac:dyDescent="0.2">
      <c r="A35" s="100" t="s">
        <v>48</v>
      </c>
      <c r="B35" s="276"/>
      <c r="C35" s="402">
        <v>0</v>
      </c>
      <c r="D35" s="402"/>
      <c r="E35" s="405">
        <f>1802.51</f>
        <v>1802.51</v>
      </c>
      <c r="F35" s="405">
        <f>1338.85</f>
        <v>1338.85</v>
      </c>
      <c r="G35" s="39"/>
      <c r="H35" s="40"/>
      <c r="I35" s="40">
        <f>158.15</f>
        <v>158.15</v>
      </c>
      <c r="J35" s="40">
        <f>85.91</f>
        <v>85.91</v>
      </c>
      <c r="K35" s="40">
        <f t="shared" si="1"/>
        <v>0</v>
      </c>
      <c r="L35" s="40">
        <f>142</f>
        <v>142</v>
      </c>
    </row>
    <row r="36" spans="1:12" ht="12.75" customHeight="1" x14ac:dyDescent="0.2">
      <c r="A36" s="100" t="s">
        <v>49</v>
      </c>
      <c r="B36" s="276"/>
      <c r="C36" s="402">
        <v>2352.5500000000002</v>
      </c>
      <c r="D36" s="402"/>
      <c r="E36" s="406">
        <f>(((((E30)+(E31))+(E32))+(E33))+(E34))+(E35)</f>
        <v>10579.58</v>
      </c>
      <c r="F36" s="406">
        <f>SUM(F30:F35)</f>
        <v>1264.6600000000001</v>
      </c>
      <c r="G36" s="51">
        <f>1334.42</f>
        <v>1334.42</v>
      </c>
      <c r="H36" s="52">
        <f>730.79</f>
        <v>730.79</v>
      </c>
      <c r="I36" s="52">
        <f>909.61</f>
        <v>909.61</v>
      </c>
      <c r="J36" s="52">
        <f>-456.16</f>
        <v>-456.16</v>
      </c>
      <c r="K36" s="52">
        <f>-3277.27</f>
        <v>-3277.27</v>
      </c>
      <c r="L36" s="52">
        <f t="shared" si="1"/>
        <v>0</v>
      </c>
    </row>
    <row r="37" spans="1:12" ht="12.75" customHeight="1" x14ac:dyDescent="0.2">
      <c r="A37" s="103" t="s">
        <v>50</v>
      </c>
      <c r="B37" s="277"/>
      <c r="C37" s="402">
        <v>6800.72</v>
      </c>
      <c r="D37" s="402"/>
      <c r="E37" s="411"/>
      <c r="F37" s="407"/>
      <c r="G37" s="397">
        <f>(((((G30)+(G31))+(G32))+(G33))+(G34))+(G36)</f>
        <v>2856.3700000000008</v>
      </c>
      <c r="H37" s="33">
        <f>(((((H30)+(H31))+(H32))+(H33))+(H34))+(H36)</f>
        <v>2541.6000000000004</v>
      </c>
      <c r="I37" s="33">
        <f>((((((I30)+(I31))+(I32))+(I33))+(I34))+(I35))+(I36)</f>
        <v>1024.2700000000002</v>
      </c>
      <c r="J37" s="33">
        <f>((((((J30)+(J31))+(J32))+(J33))+(J34))+(J35))+(J36)</f>
        <v>5017.08</v>
      </c>
      <c r="K37" s="33">
        <f>((((((K30)+(K31))+(K32))+(K33))+(K34))+(K35))+(K36)</f>
        <v>13040.039999999999</v>
      </c>
      <c r="L37" s="33">
        <f>((((((L30)+(L31))+(L32))+(L33))+(L34))+(L35))+(L36)</f>
        <v>2631.1400000000003</v>
      </c>
    </row>
    <row r="38" spans="1:12" ht="12.75" customHeight="1" x14ac:dyDescent="0.2">
      <c r="A38" s="104" t="s">
        <v>51</v>
      </c>
      <c r="B38" s="278">
        <v>0</v>
      </c>
      <c r="C38" s="408"/>
      <c r="D38" s="408"/>
      <c r="E38" s="405">
        <f>9270.71</f>
        <v>9270.7099999999991</v>
      </c>
      <c r="F38" s="405">
        <f>883.54</f>
        <v>883.54</v>
      </c>
      <c r="G38" s="396"/>
      <c r="H38" s="62"/>
      <c r="I38" s="62"/>
      <c r="J38" s="62"/>
      <c r="K38" s="40">
        <f>266.18</f>
        <v>266.18</v>
      </c>
      <c r="L38" s="62"/>
    </row>
    <row r="39" spans="1:12" ht="12.75" customHeight="1" x14ac:dyDescent="0.2">
      <c r="A39" s="104" t="s">
        <v>52</v>
      </c>
      <c r="B39" s="278">
        <v>15400</v>
      </c>
      <c r="C39" s="408">
        <v>3697.66</v>
      </c>
      <c r="D39" s="408">
        <v>3676.7</v>
      </c>
      <c r="E39" s="403"/>
      <c r="F39" s="405">
        <f>14843.84</f>
        <v>14843.84</v>
      </c>
      <c r="G39" s="39">
        <f>8309.65</f>
        <v>8309.65</v>
      </c>
      <c r="H39" s="40">
        <f>8062.45</f>
        <v>8062.45</v>
      </c>
      <c r="I39" s="40">
        <f>5824.49</f>
        <v>5824.49</v>
      </c>
      <c r="J39" s="40">
        <f>1782.16</f>
        <v>1782.16</v>
      </c>
      <c r="K39" s="40">
        <f>1282.21</f>
        <v>1282.21</v>
      </c>
      <c r="L39" s="40">
        <f>194.04</f>
        <v>194.04</v>
      </c>
    </row>
    <row r="40" spans="1:12" ht="12.75" customHeight="1" x14ac:dyDescent="0.2">
      <c r="A40" s="105" t="s">
        <v>131</v>
      </c>
      <c r="B40" s="282"/>
      <c r="C40" s="412">
        <v>-235.4</v>
      </c>
      <c r="D40" s="412">
        <v>-235.4</v>
      </c>
      <c r="E40" s="405">
        <f>10483.42</f>
        <v>10483.42</v>
      </c>
      <c r="F40" s="405">
        <f>17096.07</f>
        <v>17096.07</v>
      </c>
      <c r="G40" s="39">
        <f>560</f>
        <v>560</v>
      </c>
      <c r="H40" s="40">
        <f>1118</f>
        <v>1118</v>
      </c>
      <c r="I40" s="40">
        <f>125</f>
        <v>125</v>
      </c>
      <c r="J40" s="40">
        <f>1314.36</f>
        <v>1314.36</v>
      </c>
      <c r="K40" s="40">
        <f>60.19</f>
        <v>60.19</v>
      </c>
      <c r="L40" s="62"/>
    </row>
    <row r="41" spans="1:12" ht="12.75" customHeight="1" x14ac:dyDescent="0.2">
      <c r="A41" s="104" t="s">
        <v>53</v>
      </c>
      <c r="B41" s="278">
        <v>20000</v>
      </c>
      <c r="C41" s="408"/>
      <c r="D41" s="408">
        <v>12272.95</v>
      </c>
      <c r="E41" s="406"/>
      <c r="F41" s="406">
        <f>((F38)+(F39))+(F40)</f>
        <v>32823.449999999997</v>
      </c>
      <c r="G41" s="51">
        <f>25327.17</f>
        <v>25327.17</v>
      </c>
      <c r="H41" s="52">
        <f>11181.29</f>
        <v>11181.29</v>
      </c>
      <c r="I41" s="52">
        <f>2879.96</f>
        <v>2879.96</v>
      </c>
      <c r="J41" s="52">
        <f>3635.58</f>
        <v>3635.58</v>
      </c>
      <c r="K41" s="52">
        <f>2997.94</f>
        <v>2997.94</v>
      </c>
      <c r="L41" s="52">
        <f>1877.08</f>
        <v>1877.08</v>
      </c>
    </row>
    <row r="42" spans="1:12" ht="12.75" customHeight="1" x14ac:dyDescent="0.2">
      <c r="A42" s="106" t="s">
        <v>54</v>
      </c>
      <c r="B42" s="275"/>
      <c r="C42" s="402"/>
      <c r="D42" s="402">
        <v>15714.25</v>
      </c>
      <c r="E42" s="413">
        <f>SUM(E38:E40)</f>
        <v>19754.129999999997</v>
      </c>
      <c r="F42" s="407"/>
      <c r="G42" s="397">
        <f t="shared" ref="G42:L42" si="3">(((G38)+(G39))+(G40))+(G41)</f>
        <v>34196.82</v>
      </c>
      <c r="H42" s="33">
        <f t="shared" si="3"/>
        <v>20361.740000000002</v>
      </c>
      <c r="I42" s="33">
        <f t="shared" si="3"/>
        <v>8829.4500000000007</v>
      </c>
      <c r="J42" s="33">
        <f t="shared" si="3"/>
        <v>6732.1</v>
      </c>
      <c r="K42" s="33">
        <f t="shared" si="3"/>
        <v>4606.5200000000004</v>
      </c>
      <c r="L42" s="33">
        <f t="shared" si="3"/>
        <v>2071.12</v>
      </c>
    </row>
    <row r="43" spans="1:12" ht="12.75" customHeight="1" x14ac:dyDescent="0.2">
      <c r="A43" s="107" t="s">
        <v>132</v>
      </c>
      <c r="B43" s="286"/>
      <c r="C43" s="410"/>
      <c r="D43" s="410"/>
      <c r="E43" s="411"/>
      <c r="F43" s="407"/>
      <c r="G43" s="399"/>
      <c r="H43" s="109"/>
      <c r="I43" s="52">
        <f>593.12</f>
        <v>593.12</v>
      </c>
      <c r="J43" s="108"/>
      <c r="K43" s="109"/>
      <c r="L43" s="109"/>
    </row>
    <row r="44" spans="1:12" ht="12.75" customHeight="1" x14ac:dyDescent="0.2">
      <c r="A44" s="100" t="s">
        <v>55</v>
      </c>
      <c r="B44" s="276"/>
      <c r="C44" s="402"/>
      <c r="D44" s="402">
        <v>144353.53</v>
      </c>
      <c r="E44" s="405">
        <f>E42+E36+E29+E28+E27+E26</f>
        <v>148974.60999999999</v>
      </c>
      <c r="F44" s="407">
        <f>F41+F36+F29+F28+F27</f>
        <v>146377.90999999997</v>
      </c>
      <c r="G44" s="397">
        <f>(((((G26)+(G27))+(G28))+(G29))+(G37))+(G42)</f>
        <v>163541.28</v>
      </c>
      <c r="H44" s="33">
        <f>(((((H26)+(H27))+(H28))+(H29))+(H37))+(H42)</f>
        <v>185178.65</v>
      </c>
      <c r="I44" s="33">
        <f>((((((I26)+(I27))+(I28))+(I29))+(I37))+(I42))+(I43)</f>
        <v>238859.06</v>
      </c>
      <c r="J44" s="33">
        <f>((((((J26)+(J27))+(J28))+(J29))+(J37))+(J42))+(J43)</f>
        <v>290856.39</v>
      </c>
      <c r="K44" s="33">
        <f>(((((K26)+(K27))+(K28))+(K29))+(K37))+(K42)</f>
        <v>226774.46000000002</v>
      </c>
      <c r="L44" s="33">
        <f>(((((L26)+(L27))+(L28))+(L29))+(L37))+(L42)</f>
        <v>180578.15</v>
      </c>
    </row>
    <row r="45" spans="1:12" ht="12.75" customHeight="1" x14ac:dyDescent="0.2">
      <c r="A45" s="100" t="s">
        <v>56</v>
      </c>
      <c r="B45" s="276"/>
      <c r="C45" s="402"/>
      <c r="D45" s="402"/>
      <c r="E45" s="403"/>
      <c r="F45" s="404"/>
      <c r="G45" s="396"/>
      <c r="H45" s="62"/>
      <c r="I45" s="62"/>
      <c r="J45" s="62"/>
      <c r="K45" s="62"/>
      <c r="L45" s="62"/>
    </row>
    <row r="46" spans="1:12" ht="12.75" customHeight="1" x14ac:dyDescent="0.2">
      <c r="A46" s="100" t="s">
        <v>57</v>
      </c>
      <c r="B46" s="276"/>
      <c r="C46" s="402"/>
      <c r="D46" s="402">
        <v>5438418.0599999996</v>
      </c>
      <c r="E46" s="405">
        <f>4263621.58</f>
        <v>4263621.58</v>
      </c>
      <c r="F46" s="405">
        <f>3984236.52</f>
        <v>3984236.52</v>
      </c>
      <c r="G46" s="39">
        <f>4074905.27</f>
        <v>4074905.27</v>
      </c>
      <c r="H46" s="40">
        <f>3574630.73</f>
        <v>3574630.73</v>
      </c>
      <c r="I46" s="40">
        <f>2939188.24</f>
        <v>2939188.24</v>
      </c>
      <c r="J46" s="40">
        <f>2538726.69</f>
        <v>2538726.69</v>
      </c>
      <c r="K46" s="40">
        <f>2251198.17</f>
        <v>2251198.17</v>
      </c>
      <c r="L46" s="40">
        <f>1778257.15</f>
        <v>1778257.15</v>
      </c>
    </row>
    <row r="47" spans="1:12" ht="12.75" customHeight="1" x14ac:dyDescent="0.2">
      <c r="A47" s="103" t="s">
        <v>58</v>
      </c>
      <c r="B47" s="277"/>
      <c r="C47" s="402"/>
      <c r="D47" s="402">
        <v>33321.33</v>
      </c>
      <c r="E47" s="405">
        <f>5430.3</f>
        <v>5430.3</v>
      </c>
      <c r="F47" s="405">
        <f>-23756.6</f>
        <v>-23756.6</v>
      </c>
      <c r="G47" s="39">
        <f>5806.9</f>
        <v>5806.9</v>
      </c>
      <c r="H47" s="40">
        <f>25131.67</f>
        <v>25131.67</v>
      </c>
      <c r="I47" s="40">
        <f>9453.9</f>
        <v>9453.9</v>
      </c>
      <c r="J47" s="40">
        <f>14086.78</f>
        <v>14086.78</v>
      </c>
      <c r="K47" s="40">
        <f>6140.98</f>
        <v>6140.98</v>
      </c>
      <c r="L47" s="40">
        <f>8172.81</f>
        <v>8172.81</v>
      </c>
    </row>
    <row r="48" spans="1:12" ht="12.75" customHeight="1" x14ac:dyDescent="0.2">
      <c r="A48" s="104" t="s">
        <v>60</v>
      </c>
      <c r="B48" s="278">
        <v>900000</v>
      </c>
      <c r="C48" s="408"/>
      <c r="D48" s="408">
        <f>308610.87*2</f>
        <v>617221.74</v>
      </c>
      <c r="E48" s="405">
        <f>534530.43</f>
        <v>534530.43000000005</v>
      </c>
      <c r="F48" s="405">
        <f>563530.96</f>
        <v>563530.96</v>
      </c>
      <c r="G48" s="39">
        <f>599634.22</f>
        <v>599634.22</v>
      </c>
      <c r="H48" s="40">
        <f>512219.7</f>
        <v>512219.7</v>
      </c>
      <c r="I48" s="40">
        <f>436299.45</f>
        <v>436299.45</v>
      </c>
      <c r="J48" s="40">
        <f>364937.32</f>
        <v>364937.32</v>
      </c>
      <c r="K48" s="40">
        <f>378635.4</f>
        <v>378635.4</v>
      </c>
      <c r="L48" s="40">
        <f>332235.71</f>
        <v>332235.71000000002</v>
      </c>
    </row>
    <row r="49" spans="1:12" ht="12.75" customHeight="1" x14ac:dyDescent="0.2">
      <c r="A49" s="106" t="s">
        <v>61</v>
      </c>
      <c r="B49" s="275"/>
      <c r="C49" s="402"/>
      <c r="D49" s="402">
        <v>183270.42</v>
      </c>
      <c r="E49" s="405">
        <f>137235.95</f>
        <v>137235.95000000001</v>
      </c>
      <c r="F49" s="405">
        <f>126025.71</f>
        <v>126025.71</v>
      </c>
      <c r="G49" s="39">
        <f>141080.78</f>
        <v>141080.78</v>
      </c>
      <c r="H49" s="40">
        <f>169557.25</f>
        <v>169557.25</v>
      </c>
      <c r="I49" s="40">
        <f>282343.47</f>
        <v>282343.46999999997</v>
      </c>
      <c r="J49" s="40">
        <f>50401.74</f>
        <v>50401.74</v>
      </c>
      <c r="K49" s="40">
        <f>34643.64</f>
        <v>34643.64</v>
      </c>
      <c r="L49" s="40">
        <f>35567.12</f>
        <v>35567.120000000003</v>
      </c>
    </row>
    <row r="50" spans="1:12" ht="12.75" customHeight="1" x14ac:dyDescent="0.2">
      <c r="A50" s="100" t="s">
        <v>63</v>
      </c>
      <c r="B50" s="276">
        <v>25000</v>
      </c>
      <c r="C50" s="402"/>
      <c r="D50" s="402">
        <v>25070.33</v>
      </c>
      <c r="E50" s="405">
        <f>24675.58</f>
        <v>24675.58</v>
      </c>
      <c r="F50" s="405">
        <f>12452.54</f>
        <v>12452.54</v>
      </c>
      <c r="G50" s="39">
        <f>40062.61</f>
        <v>40062.61</v>
      </c>
      <c r="H50" s="40">
        <f>16301.15</f>
        <v>16301.15</v>
      </c>
      <c r="I50" s="40">
        <f>32478.23</f>
        <v>32478.23</v>
      </c>
      <c r="J50" s="40">
        <f>17134.38</f>
        <v>17134.38</v>
      </c>
      <c r="K50" s="40">
        <f>11653.12</f>
        <v>11653.12</v>
      </c>
      <c r="L50" s="40">
        <f>18612.7</f>
        <v>18612.7</v>
      </c>
    </row>
    <row r="51" spans="1:12" ht="12.75" customHeight="1" x14ac:dyDescent="0.2">
      <c r="A51" s="103" t="s">
        <v>64</v>
      </c>
      <c r="B51" s="277"/>
      <c r="C51" s="402"/>
      <c r="D51" s="402">
        <v>401291.84</v>
      </c>
      <c r="E51" s="405">
        <f>331579.53</f>
        <v>331579.53000000003</v>
      </c>
      <c r="F51" s="405">
        <f>303797.77</f>
        <v>303797.77</v>
      </c>
      <c r="G51" s="39">
        <f>306227.14</f>
        <v>306227.14</v>
      </c>
      <c r="H51" s="40">
        <f>271324.74</f>
        <v>271324.74</v>
      </c>
      <c r="I51" s="40">
        <f>223909.2</f>
        <v>223909.2</v>
      </c>
      <c r="J51" s="40">
        <f>193613.79</f>
        <v>193613.79</v>
      </c>
      <c r="K51" s="40">
        <f>172216.59</f>
        <v>172216.59</v>
      </c>
      <c r="L51" s="40">
        <f>134871.33</f>
        <v>134871.32999999999</v>
      </c>
    </row>
    <row r="52" spans="1:12" ht="12.75" customHeight="1" x14ac:dyDescent="0.2">
      <c r="A52" s="104" t="s">
        <v>66</v>
      </c>
      <c r="B52" s="278">
        <v>3814</v>
      </c>
      <c r="C52" s="408"/>
      <c r="D52" s="408">
        <f>1907*2</f>
        <v>3814</v>
      </c>
      <c r="E52" s="405">
        <f>2846</f>
        <v>2846</v>
      </c>
      <c r="F52" s="405">
        <f>3354</f>
        <v>3354</v>
      </c>
      <c r="G52" s="39">
        <f>5214</f>
        <v>5214</v>
      </c>
      <c r="H52" s="40">
        <f>3037</f>
        <v>3037</v>
      </c>
      <c r="I52" s="40">
        <f>3882.08</f>
        <v>3882.08</v>
      </c>
      <c r="J52" s="40">
        <f>3761.66+8</f>
        <v>3769.66</v>
      </c>
      <c r="K52" s="40">
        <f>3033+105</f>
        <v>3138</v>
      </c>
      <c r="L52" s="40">
        <f>1354.45</f>
        <v>1354.45</v>
      </c>
    </row>
    <row r="53" spans="1:12" ht="12.75" customHeight="1" x14ac:dyDescent="0.2">
      <c r="A53" s="110" t="s">
        <v>133</v>
      </c>
      <c r="B53" s="283"/>
      <c r="C53" s="414"/>
      <c r="D53" s="414">
        <v>0</v>
      </c>
      <c r="E53" s="403"/>
      <c r="F53" s="403"/>
      <c r="G53" s="39"/>
      <c r="H53" s="40"/>
      <c r="I53" s="40">
        <f>300</f>
        <v>300</v>
      </c>
      <c r="J53" s="40">
        <f>1575</f>
        <v>1575</v>
      </c>
      <c r="K53" s="40">
        <f>525</f>
        <v>525</v>
      </c>
      <c r="L53" s="40">
        <f>1054</f>
        <v>1054</v>
      </c>
    </row>
    <row r="54" spans="1:12" ht="12.75" customHeight="1" x14ac:dyDescent="0.2">
      <c r="A54" s="104" t="s">
        <v>67</v>
      </c>
      <c r="B54" s="278">
        <v>6000</v>
      </c>
      <c r="C54" s="408"/>
      <c r="D54" s="408">
        <v>5600.48</v>
      </c>
      <c r="E54" s="405">
        <f>5651</f>
        <v>5651</v>
      </c>
      <c r="F54" s="405">
        <f>3978</f>
        <v>3978</v>
      </c>
      <c r="G54" s="39">
        <f>3053</f>
        <v>3053</v>
      </c>
      <c r="H54" s="40">
        <f>2689</f>
        <v>2689</v>
      </c>
      <c r="I54" s="40">
        <f>3471</f>
        <v>3471</v>
      </c>
      <c r="J54" s="40">
        <f>3371</f>
        <v>3371</v>
      </c>
      <c r="K54" s="40">
        <f>4204</f>
        <v>4204</v>
      </c>
      <c r="L54" s="40">
        <f>3545</f>
        <v>3545</v>
      </c>
    </row>
    <row r="55" spans="1:12" ht="12.75" customHeight="1" x14ac:dyDescent="0.2">
      <c r="A55" s="104" t="s">
        <v>68</v>
      </c>
      <c r="B55" s="278">
        <v>6066.16</v>
      </c>
      <c r="C55" s="408"/>
      <c r="D55" s="408">
        <v>99457.58</v>
      </c>
      <c r="E55" s="405">
        <f>75951.8</f>
        <v>75951.8</v>
      </c>
      <c r="F55" s="405">
        <f>25991.65</f>
        <v>25991.65</v>
      </c>
      <c r="G55" s="39">
        <f>147</f>
        <v>147</v>
      </c>
      <c r="H55" s="40">
        <f>13898.21</f>
        <v>13898.21</v>
      </c>
      <c r="I55" s="40">
        <f>333</f>
        <v>333</v>
      </c>
      <c r="J55" s="40">
        <f>312</f>
        <v>312</v>
      </c>
      <c r="K55" s="40">
        <f>408</f>
        <v>408</v>
      </c>
      <c r="L55" s="40">
        <f>167</f>
        <v>167</v>
      </c>
    </row>
    <row r="56" spans="1:12" ht="12.75" customHeight="1" x14ac:dyDescent="0.2">
      <c r="A56" s="104" t="s">
        <v>69</v>
      </c>
      <c r="B56" s="278">
        <v>20000</v>
      </c>
      <c r="C56" s="408"/>
      <c r="D56" s="408">
        <v>15431.35</v>
      </c>
      <c r="E56" s="405">
        <f>3735.29</f>
        <v>3735.29</v>
      </c>
      <c r="F56" s="405">
        <f>5281.28</f>
        <v>5281.28</v>
      </c>
      <c r="G56" s="39">
        <f>3066.94</f>
        <v>3066.94</v>
      </c>
      <c r="H56" s="40">
        <f>3741.98</f>
        <v>3741.98</v>
      </c>
      <c r="I56" s="40">
        <f>5463.25</f>
        <v>5463.25</v>
      </c>
      <c r="J56" s="40">
        <f>2084.7</f>
        <v>2084.6999999999998</v>
      </c>
      <c r="K56" s="40">
        <f>1895.78</f>
        <v>1895.78</v>
      </c>
      <c r="L56" s="40">
        <f>870.93</f>
        <v>870.93</v>
      </c>
    </row>
    <row r="57" spans="1:12" ht="12.75" customHeight="1" x14ac:dyDescent="0.2">
      <c r="A57" s="110" t="s">
        <v>134</v>
      </c>
      <c r="B57" s="284"/>
      <c r="C57" s="410"/>
      <c r="D57" s="410"/>
      <c r="E57" s="403"/>
      <c r="F57" s="403"/>
      <c r="G57" s="39"/>
      <c r="H57" s="40"/>
      <c r="I57" s="40"/>
      <c r="J57" s="40"/>
      <c r="K57" s="40">
        <f>8110.63</f>
        <v>8110.63</v>
      </c>
      <c r="L57" s="62"/>
    </row>
    <row r="58" spans="1:12" ht="12.75" customHeight="1" x14ac:dyDescent="0.2">
      <c r="A58" s="104" t="s">
        <v>70</v>
      </c>
      <c r="B58" s="278">
        <v>34044.519999999997</v>
      </c>
      <c r="C58" s="408"/>
      <c r="D58" s="408">
        <f>14135.13*2</f>
        <v>28270.26</v>
      </c>
      <c r="E58" s="405">
        <f>41608.04</f>
        <v>41608.04</v>
      </c>
      <c r="F58" s="405">
        <f>34527.76</f>
        <v>34527.760000000002</v>
      </c>
      <c r="G58" s="39">
        <f>38308.65</f>
        <v>38308.65</v>
      </c>
      <c r="H58" s="40">
        <f>32722.5</f>
        <v>32722.5</v>
      </c>
      <c r="I58" s="40">
        <f>25135.29</f>
        <v>25135.29</v>
      </c>
      <c r="J58" s="40">
        <f>16389.82</f>
        <v>16389.82</v>
      </c>
      <c r="K58" s="40">
        <f>14788.64</f>
        <v>14788.64</v>
      </c>
      <c r="L58" s="40">
        <f>12104.09</f>
        <v>12104.09</v>
      </c>
    </row>
    <row r="59" spans="1:12" ht="12.75" customHeight="1" x14ac:dyDescent="0.2">
      <c r="A59" s="110" t="s">
        <v>71</v>
      </c>
      <c r="B59" s="284"/>
      <c r="C59" s="410"/>
      <c r="D59" s="410">
        <v>233761.3</v>
      </c>
      <c r="E59" s="405">
        <f>234070.5</f>
        <v>234070.5</v>
      </c>
      <c r="F59" s="405">
        <f>212803.28</f>
        <v>212803.28</v>
      </c>
      <c r="G59" s="39">
        <f>263781.17</f>
        <v>263781.17</v>
      </c>
      <c r="H59" s="40">
        <f>290882.14</f>
        <v>290882.14</v>
      </c>
      <c r="I59" s="40">
        <f>228257.68</f>
        <v>228257.68</v>
      </c>
      <c r="J59" s="40">
        <f>170616.35</f>
        <v>170616.35</v>
      </c>
      <c r="K59" s="40">
        <f>118492.19</f>
        <v>118492.19</v>
      </c>
      <c r="L59" s="40">
        <f>67702.55</f>
        <v>67702.55</v>
      </c>
    </row>
    <row r="60" spans="1:12" ht="12.75" customHeight="1" x14ac:dyDescent="0.2">
      <c r="A60" s="104" t="s">
        <v>72</v>
      </c>
      <c r="B60" s="278">
        <v>36000</v>
      </c>
      <c r="C60" s="408"/>
      <c r="D60" s="408">
        <v>17655.73</v>
      </c>
      <c r="E60" s="405">
        <v>17046.66</v>
      </c>
      <c r="F60" s="405">
        <f>18618.42</f>
        <v>18618.419999999998</v>
      </c>
      <c r="G60" s="39">
        <f>18114.84</f>
        <v>18114.84</v>
      </c>
      <c r="H60" s="40">
        <f>18673.9</f>
        <v>18673.900000000001</v>
      </c>
      <c r="I60" s="40">
        <f>23397.26</f>
        <v>23397.26</v>
      </c>
      <c r="J60" s="40">
        <f>25052.94</f>
        <v>25052.94</v>
      </c>
      <c r="K60" s="40">
        <f>22365.48</f>
        <v>22365.48</v>
      </c>
      <c r="L60" s="40">
        <f>24104.03</f>
        <v>24104.03</v>
      </c>
    </row>
    <row r="61" spans="1:12" ht="12.75" customHeight="1" x14ac:dyDescent="0.2">
      <c r="A61" s="104" t="s">
        <v>73</v>
      </c>
      <c r="B61" s="278">
        <v>6000</v>
      </c>
      <c r="C61" s="408"/>
      <c r="D61" s="408">
        <v>6448.01</v>
      </c>
      <c r="E61" s="405">
        <f>5312.93</f>
        <v>5312.93</v>
      </c>
      <c r="F61" s="405">
        <f>5851.84</f>
        <v>5851.84</v>
      </c>
      <c r="G61" s="39">
        <f>308.01</f>
        <v>308.01</v>
      </c>
      <c r="H61" s="40">
        <f>3923.63</f>
        <v>3923.63</v>
      </c>
      <c r="I61" s="40">
        <f>1928.6</f>
        <v>1928.6</v>
      </c>
      <c r="J61" s="40">
        <f>2464.29</f>
        <v>2464.29</v>
      </c>
      <c r="K61" s="40">
        <f>1483.29</f>
        <v>1483.29</v>
      </c>
      <c r="L61" s="40">
        <f>1340.95</f>
        <v>1340.95</v>
      </c>
    </row>
    <row r="62" spans="1:12" ht="12.75" customHeight="1" x14ac:dyDescent="0.2">
      <c r="A62" s="106" t="s">
        <v>74</v>
      </c>
      <c r="B62" s="275"/>
      <c r="C62" s="402"/>
      <c r="D62" s="402">
        <v>6836.61</v>
      </c>
      <c r="E62" s="415">
        <v>4051.89</v>
      </c>
      <c r="F62" s="405">
        <f>974.67</f>
        <v>974.67</v>
      </c>
      <c r="G62" s="51">
        <f>227.47</f>
        <v>227.47</v>
      </c>
      <c r="H62" s="52">
        <f>10025</f>
        <v>10025</v>
      </c>
      <c r="I62" s="52">
        <f>10801.92</f>
        <v>10801.92</v>
      </c>
      <c r="J62" s="52">
        <f>11181.44</f>
        <v>11181.44</v>
      </c>
      <c r="K62" s="52">
        <f>437.3</f>
        <v>437.3</v>
      </c>
      <c r="L62" s="52">
        <f>833.09</f>
        <v>833.09</v>
      </c>
    </row>
    <row r="63" spans="1:12" ht="12.75" customHeight="1" x14ac:dyDescent="0.2">
      <c r="A63" s="100" t="s">
        <v>75</v>
      </c>
      <c r="B63" s="276"/>
      <c r="C63" s="402"/>
      <c r="D63" s="402">
        <v>7126915.3700000001</v>
      </c>
      <c r="E63" s="406">
        <f>SUM(E46:E62)</f>
        <v>5687347.4799999995</v>
      </c>
      <c r="F63" s="406">
        <f>(((((((((((((((F45)+(F46))+(F47))+(F48))+(F49))+(F50))+(F51))+(F52))+(F54))+(F55))+(F56))+(F58))+(F59))+(F60))+(F61))+(F62)</f>
        <v>5277667.8000000007</v>
      </c>
      <c r="G63" s="397">
        <f>(((((((((((((((G45)+(G46))+(G47))+(G48))+(G49))+(G50))+(G51))+(G52))+(G54))+(G55))+(G56))+(G58))+(G59))+(G60))+(G61))+(G62)</f>
        <v>5499938</v>
      </c>
      <c r="H63" s="33">
        <f>(((((((((((((((H45)+(H46))+(H47))+(H48))+(H49))+(H50))+(H51))+(H52))+(H54))+(H55))+(H56))+(H58))+(H59))+(H60))+(H61))+(H62)</f>
        <v>4948758.6000000006</v>
      </c>
      <c r="I63" s="33">
        <f>((((((((((((((((I45)+(I46))+(I47))+(I48))+(I49))+(I50))+(I51))+(I52))+(I53))+(I54))+(I55))+(I56))+(I58))+(I59))+(I60))+(I61))+(I62)</f>
        <v>4226642.57</v>
      </c>
      <c r="J63" s="33">
        <f>((((((((((((((((J45)+(J46))+(J47))+(J48))+(J49))+(J50))+(J51))+(J52))+(J53))+(J54))+(J55))+(J56))+(J58))+(J59))+(J60))+(J61))+(J62)</f>
        <v>3415717.9</v>
      </c>
      <c r="K63" s="33">
        <f>(((((((((((((((((K45)+(K46))+(K47))+(K48))+(K49))+(K50))+(K51))+(K52))+(K53))+(K54))+(K55))+(K56))+(K57))+(K58))+(K59))+(K60))+(K61))+(K62)</f>
        <v>3030336.2099999995</v>
      </c>
      <c r="L63" s="33">
        <f>(((((((((((((((((L45)+(L46))+(L47))+(L48))+(L49))+(L50))+(L51))+(L52))+(L53))+(L54))+(L55))+(L56))+(L57))+(L58))+(L59))+(L60))+(L61))+(L62)</f>
        <v>2420792.91</v>
      </c>
    </row>
    <row r="64" spans="1:12" ht="12.75" customHeight="1" x14ac:dyDescent="0.2">
      <c r="A64" s="100" t="s">
        <v>76</v>
      </c>
      <c r="B64" s="276"/>
      <c r="C64" s="402"/>
      <c r="D64" s="402"/>
      <c r="E64" s="404"/>
      <c r="F64" s="403"/>
      <c r="G64" s="396"/>
      <c r="H64" s="62"/>
      <c r="I64" s="62"/>
      <c r="J64" s="62"/>
      <c r="K64" s="62"/>
      <c r="L64" s="62"/>
    </row>
    <row r="65" spans="1:12" ht="12.75" customHeight="1" x14ac:dyDescent="0.2">
      <c r="A65" s="100" t="s">
        <v>77</v>
      </c>
      <c r="B65" s="276"/>
      <c r="C65" s="402"/>
      <c r="D65" s="402">
        <v>2760</v>
      </c>
      <c r="E65" s="405">
        <f>2400</f>
        <v>2400</v>
      </c>
      <c r="F65" s="403">
        <v>654.74</v>
      </c>
      <c r="G65" s="396"/>
      <c r="H65" s="62"/>
      <c r="I65" s="40">
        <f t="shared" ref="I65:J107" si="4">0</f>
        <v>0</v>
      </c>
      <c r="J65" s="40">
        <f>3624.95</f>
        <v>3624.95</v>
      </c>
      <c r="K65" s="40">
        <f>4245.1</f>
        <v>4245.1000000000004</v>
      </c>
      <c r="L65" s="40">
        <f>947.54</f>
        <v>947.54</v>
      </c>
    </row>
    <row r="66" spans="1:12" ht="12.75" customHeight="1" x14ac:dyDescent="0.2">
      <c r="A66" s="100" t="s">
        <v>78</v>
      </c>
      <c r="B66" s="276"/>
      <c r="C66" s="402"/>
      <c r="D66" s="402">
        <v>150</v>
      </c>
      <c r="E66" s="403"/>
      <c r="F66" s="405">
        <f>1471.16</f>
        <v>1471.16</v>
      </c>
      <c r="G66" s="39">
        <f>2582.99</f>
        <v>2582.9899999999998</v>
      </c>
      <c r="H66" s="40">
        <f>373</f>
        <v>373</v>
      </c>
      <c r="I66" s="40">
        <f>91.77</f>
        <v>91.77</v>
      </c>
      <c r="J66" s="40">
        <f>2207.07</f>
        <v>2207.0700000000002</v>
      </c>
      <c r="K66" s="62"/>
      <c r="L66" s="40">
        <f>139.4</f>
        <v>139.4</v>
      </c>
    </row>
    <row r="67" spans="1:12" ht="12.75" customHeight="1" x14ac:dyDescent="0.2">
      <c r="A67" s="103" t="s">
        <v>79</v>
      </c>
      <c r="B67" s="277"/>
      <c r="C67" s="402"/>
      <c r="D67" s="402">
        <v>138887.94</v>
      </c>
      <c r="E67" s="405">
        <f>43330.06</f>
        <v>43330.06</v>
      </c>
      <c r="F67" s="405">
        <f>55526.01</f>
        <v>55526.01</v>
      </c>
      <c r="G67" s="39">
        <f>15836</f>
        <v>15836</v>
      </c>
      <c r="H67" s="40">
        <f>9109</f>
        <v>9109</v>
      </c>
      <c r="I67" s="40">
        <f>22591</f>
        <v>22591</v>
      </c>
      <c r="J67" s="40">
        <f>8550</f>
        <v>8550</v>
      </c>
      <c r="K67" s="40">
        <f>10500</f>
        <v>10500</v>
      </c>
      <c r="L67" s="40">
        <f>11010.1</f>
        <v>11010.1</v>
      </c>
    </row>
    <row r="68" spans="1:12" ht="12.75" customHeight="1" x14ac:dyDescent="0.2">
      <c r="A68" s="104" t="s">
        <v>80</v>
      </c>
      <c r="B68" s="278">
        <v>50000</v>
      </c>
      <c r="C68" s="408"/>
      <c r="D68" s="408">
        <v>42041.43</v>
      </c>
      <c r="E68" s="405">
        <f>68583.12</f>
        <v>68583.12</v>
      </c>
      <c r="F68" s="405">
        <f>69724.91</f>
        <v>69724.91</v>
      </c>
      <c r="G68" s="39">
        <f>44450.42</f>
        <v>44450.42</v>
      </c>
      <c r="H68" s="40">
        <f>33541.12</f>
        <v>33541.120000000003</v>
      </c>
      <c r="I68" s="40">
        <f>11124.09</f>
        <v>11124.09</v>
      </c>
      <c r="J68" s="40">
        <f>5057.63</f>
        <v>5057.63</v>
      </c>
      <c r="K68" s="40">
        <f>1310.04</f>
        <v>1310.04</v>
      </c>
      <c r="L68" s="40">
        <f>475.31</f>
        <v>475.31</v>
      </c>
    </row>
    <row r="69" spans="1:12" ht="12.75" customHeight="1" x14ac:dyDescent="0.2">
      <c r="A69" s="104" t="s">
        <v>81</v>
      </c>
      <c r="B69" s="278">
        <v>120000</v>
      </c>
      <c r="C69" s="408"/>
      <c r="D69" s="408">
        <v>101578.99</v>
      </c>
      <c r="E69" s="405">
        <f>67357.57</f>
        <v>67357.570000000007</v>
      </c>
      <c r="F69" s="405">
        <f>126602.08</f>
        <v>126602.08</v>
      </c>
      <c r="G69" s="39">
        <f>145298.13</f>
        <v>145298.13</v>
      </c>
      <c r="H69" s="40">
        <f>130617.5</f>
        <v>130617.5</v>
      </c>
      <c r="I69" s="40">
        <f>70675.1</f>
        <v>70675.100000000006</v>
      </c>
      <c r="J69" s="40">
        <f>7870.25</f>
        <v>7870.25</v>
      </c>
      <c r="K69" s="40">
        <f>6270</f>
        <v>6270</v>
      </c>
      <c r="L69" s="40">
        <f>6462.25</f>
        <v>6462.25</v>
      </c>
    </row>
    <row r="70" spans="1:12" ht="12.75" customHeight="1" x14ac:dyDescent="0.2">
      <c r="A70" s="104" t="s">
        <v>82</v>
      </c>
      <c r="B70" s="278"/>
      <c r="C70" s="408"/>
      <c r="D70" s="408"/>
      <c r="E70" s="411"/>
      <c r="F70" s="403"/>
      <c r="G70" s="39">
        <f>641.73</f>
        <v>641.73</v>
      </c>
      <c r="H70" s="40">
        <f>508.04</f>
        <v>508.04</v>
      </c>
      <c r="I70" s="40">
        <f>1412.64</f>
        <v>1412.64</v>
      </c>
      <c r="J70" s="40">
        <f>1676.92</f>
        <v>1676.92</v>
      </c>
      <c r="K70" s="40">
        <f>1461.32</f>
        <v>1461.32</v>
      </c>
      <c r="L70" s="40">
        <f>270.93</f>
        <v>270.93</v>
      </c>
    </row>
    <row r="71" spans="1:12" ht="12.75" customHeight="1" x14ac:dyDescent="0.2">
      <c r="A71" s="105" t="s">
        <v>135</v>
      </c>
      <c r="B71" s="281"/>
      <c r="C71" s="402"/>
      <c r="D71" s="402"/>
      <c r="E71" s="403"/>
      <c r="F71" s="403"/>
      <c r="G71" s="39">
        <f>2931.48</f>
        <v>2931.48</v>
      </c>
      <c r="H71" s="40">
        <f>833.49</f>
        <v>833.49</v>
      </c>
      <c r="I71" s="40">
        <f>8413.99</f>
        <v>8413.99</v>
      </c>
      <c r="J71" s="40">
        <f>1267.86</f>
        <v>1267.8599999999999</v>
      </c>
      <c r="K71" s="40">
        <f>1517.54</f>
        <v>1517.54</v>
      </c>
      <c r="L71" s="62"/>
    </row>
    <row r="72" spans="1:12" ht="12.75" customHeight="1" x14ac:dyDescent="0.2">
      <c r="A72" s="104" t="s">
        <v>83</v>
      </c>
      <c r="B72" s="278">
        <v>20000</v>
      </c>
      <c r="C72" s="408"/>
      <c r="D72" s="408">
        <v>14825.37</v>
      </c>
      <c r="E72" s="405">
        <f>16614.29</f>
        <v>16614.29</v>
      </c>
      <c r="F72" s="405">
        <f>3932.73</f>
        <v>3932.73</v>
      </c>
      <c r="G72" s="39">
        <f>15338.9</f>
        <v>15338.9</v>
      </c>
      <c r="H72" s="40">
        <f>12232.77</f>
        <v>12232.77</v>
      </c>
      <c r="I72" s="40">
        <f>7389.33</f>
        <v>7389.33</v>
      </c>
      <c r="J72" s="40">
        <f>18792.73+76.42</f>
        <v>18869.149999999998</v>
      </c>
      <c r="K72" s="40">
        <f>7406.98</f>
        <v>7406.98</v>
      </c>
      <c r="L72" s="40">
        <f>6945.79</f>
        <v>6945.79</v>
      </c>
    </row>
    <row r="73" spans="1:12" ht="12.75" customHeight="1" x14ac:dyDescent="0.2">
      <c r="A73" s="104" t="s">
        <v>84</v>
      </c>
      <c r="B73" s="278">
        <v>6000</v>
      </c>
      <c r="C73" s="408"/>
      <c r="D73" s="408">
        <v>8873.0400000000009</v>
      </c>
      <c r="E73" s="405">
        <v>8261.4</v>
      </c>
      <c r="F73" s="405">
        <f>17131.93</f>
        <v>17131.93</v>
      </c>
      <c r="G73" s="39">
        <f>6972.22</f>
        <v>6972.22</v>
      </c>
      <c r="H73" s="40">
        <f>7178.84</f>
        <v>7178.84</v>
      </c>
      <c r="I73" s="40">
        <f>7998.57</f>
        <v>7998.57</v>
      </c>
      <c r="J73" s="40">
        <f>8851.12</f>
        <v>8851.1200000000008</v>
      </c>
      <c r="K73" s="40">
        <f>7889.79</f>
        <v>7889.79</v>
      </c>
      <c r="L73" s="40">
        <f>5096.7</f>
        <v>5096.7</v>
      </c>
    </row>
    <row r="74" spans="1:12" ht="12.75" customHeight="1" x14ac:dyDescent="0.2">
      <c r="A74" s="105" t="s">
        <v>136</v>
      </c>
      <c r="B74" s="281"/>
      <c r="C74" s="402"/>
      <c r="D74" s="402"/>
      <c r="E74" s="405">
        <v>760.99</v>
      </c>
      <c r="F74" s="405">
        <f>7080.36</f>
        <v>7080.36</v>
      </c>
      <c r="G74" s="39">
        <f>110</f>
        <v>110</v>
      </c>
      <c r="H74" s="40">
        <f>3358.52</f>
        <v>3358.52</v>
      </c>
      <c r="I74" s="40">
        <f>3624.54</f>
        <v>3624.54</v>
      </c>
      <c r="J74" s="62"/>
      <c r="K74" s="40">
        <f>8638.33</f>
        <v>8638.33</v>
      </c>
      <c r="L74" s="40">
        <f>30</f>
        <v>30</v>
      </c>
    </row>
    <row r="75" spans="1:12" ht="12.75" customHeight="1" x14ac:dyDescent="0.2">
      <c r="A75" s="104" t="s">
        <v>85</v>
      </c>
      <c r="B75" s="278">
        <v>26000</v>
      </c>
      <c r="C75" s="408"/>
      <c r="D75" s="408">
        <v>24659.47</v>
      </c>
      <c r="E75" s="415">
        <v>23362.83</v>
      </c>
      <c r="F75" s="405">
        <f>12391.05</f>
        <v>12391.05</v>
      </c>
      <c r="G75" s="51">
        <f>10030.88</f>
        <v>10030.879999999999</v>
      </c>
      <c r="H75" s="52">
        <f>6567.61</f>
        <v>6567.61</v>
      </c>
      <c r="I75" s="52">
        <f>2324.43</f>
        <v>2324.4299999999998</v>
      </c>
      <c r="J75" s="52">
        <f>5714.98</f>
        <v>5714.98</v>
      </c>
      <c r="K75" s="52">
        <f>673.77</f>
        <v>673.77</v>
      </c>
      <c r="L75" s="52">
        <f>935.24</f>
        <v>935.24</v>
      </c>
    </row>
    <row r="76" spans="1:12" ht="12.75" customHeight="1" x14ac:dyDescent="0.2">
      <c r="A76" s="105" t="s">
        <v>86</v>
      </c>
      <c r="B76" s="281"/>
      <c r="C76" s="402"/>
      <c r="D76" s="402"/>
      <c r="E76" s="407">
        <f>SUM(E72:E75)</f>
        <v>48999.510000000009</v>
      </c>
      <c r="F76" s="406">
        <f>(((F72)+(F73))+(F74))+(F75)</f>
        <v>40536.07</v>
      </c>
      <c r="G76" s="397">
        <f t="shared" ref="G76:L76" si="5">(((((G70)+(G71))+(G72))+(G73))+(G74))+(G75)</f>
        <v>36025.21</v>
      </c>
      <c r="H76" s="33">
        <f t="shared" si="5"/>
        <v>30679.27</v>
      </c>
      <c r="I76" s="33">
        <f t="shared" si="5"/>
        <v>31163.5</v>
      </c>
      <c r="J76" s="33">
        <f t="shared" si="5"/>
        <v>36380.03</v>
      </c>
      <c r="K76" s="33">
        <f t="shared" si="5"/>
        <v>27587.73</v>
      </c>
      <c r="L76" s="33">
        <f t="shared" si="5"/>
        <v>13278.66</v>
      </c>
    </row>
    <row r="77" spans="1:12" ht="12.75" customHeight="1" x14ac:dyDescent="0.2">
      <c r="A77" s="104" t="s">
        <v>87</v>
      </c>
      <c r="B77" s="278">
        <v>4500</v>
      </c>
      <c r="C77" s="408"/>
      <c r="D77" s="408">
        <v>3714.99</v>
      </c>
      <c r="E77" s="415">
        <v>8179.14</v>
      </c>
      <c r="F77" s="405">
        <f>9937.22</f>
        <v>9937.2199999999993</v>
      </c>
      <c r="G77" s="39">
        <f>6931.38</f>
        <v>6931.38</v>
      </c>
      <c r="H77" s="40">
        <f>5248.95</f>
        <v>5248.95</v>
      </c>
      <c r="I77" s="40">
        <f>5640.47</f>
        <v>5640.47</v>
      </c>
      <c r="J77" s="40">
        <f>3321.03</f>
        <v>3321.03</v>
      </c>
      <c r="K77" s="40">
        <f>3743.32</f>
        <v>3743.32</v>
      </c>
      <c r="L77" s="40">
        <f>4545.37</f>
        <v>4545.37</v>
      </c>
    </row>
    <row r="78" spans="1:12" ht="12.75" customHeight="1" x14ac:dyDescent="0.2">
      <c r="A78" s="104" t="s">
        <v>88</v>
      </c>
      <c r="B78" s="278">
        <v>24000</v>
      </c>
      <c r="C78" s="408"/>
      <c r="D78" s="408">
        <v>18195.349999999999</v>
      </c>
      <c r="E78" s="415">
        <v>10913.37</v>
      </c>
      <c r="F78" s="405">
        <f>17882.38</f>
        <v>17882.38</v>
      </c>
      <c r="G78" s="39">
        <f>11568.37</f>
        <v>11568.37</v>
      </c>
      <c r="H78" s="40">
        <f>8679.76</f>
        <v>8679.76</v>
      </c>
      <c r="I78" s="40">
        <f>9980.71</f>
        <v>9980.7099999999991</v>
      </c>
      <c r="J78" s="40">
        <f>14404.24</f>
        <v>14404.24</v>
      </c>
      <c r="K78" s="40">
        <f>7021.84</f>
        <v>7021.84</v>
      </c>
      <c r="L78" s="40">
        <f>4672.17</f>
        <v>4672.17</v>
      </c>
    </row>
    <row r="79" spans="1:12" ht="12.75" customHeight="1" x14ac:dyDescent="0.2">
      <c r="A79" s="110" t="s">
        <v>137</v>
      </c>
      <c r="B79" s="284"/>
      <c r="C79" s="410"/>
      <c r="D79" s="408">
        <v>0</v>
      </c>
      <c r="E79" s="415"/>
      <c r="F79" s="403"/>
      <c r="G79" s="39"/>
      <c r="H79" s="40"/>
      <c r="I79" s="40"/>
      <c r="J79" s="40"/>
      <c r="K79" s="40">
        <f>40.26</f>
        <v>40.26</v>
      </c>
      <c r="L79" s="40">
        <f>328.12</f>
        <v>328.12</v>
      </c>
    </row>
    <row r="80" spans="1:12" ht="12.75" customHeight="1" x14ac:dyDescent="0.2">
      <c r="A80" s="104" t="s">
        <v>89</v>
      </c>
      <c r="B80" s="278">
        <v>100</v>
      </c>
      <c r="C80" s="408"/>
      <c r="D80" s="418">
        <v>17.309999999999999</v>
      </c>
      <c r="E80" s="415">
        <v>305.41000000000003</v>
      </c>
      <c r="F80" s="405">
        <f>982.62</f>
        <v>982.62</v>
      </c>
      <c r="G80" s="39">
        <f>2002.68</f>
        <v>2002.68</v>
      </c>
      <c r="H80" s="40">
        <f>642.64</f>
        <v>642.64</v>
      </c>
      <c r="I80" s="40">
        <f>8304.55</f>
        <v>8304.5499999999993</v>
      </c>
      <c r="J80" s="40">
        <f>4791.38</f>
        <v>4791.38</v>
      </c>
      <c r="K80" s="40">
        <f>4052.18</f>
        <v>4052.18</v>
      </c>
      <c r="L80" s="40">
        <f>9818.28</f>
        <v>9818.2800000000007</v>
      </c>
    </row>
    <row r="81" spans="1:12" ht="12.75" customHeight="1" x14ac:dyDescent="0.2">
      <c r="A81" s="104" t="s">
        <v>90</v>
      </c>
      <c r="B81" s="278">
        <v>15000</v>
      </c>
      <c r="C81" s="408"/>
      <c r="D81" s="408">
        <v>8539.4500000000007</v>
      </c>
      <c r="E81" s="415">
        <v>7907.92</v>
      </c>
      <c r="F81" s="405">
        <f>7491.91</f>
        <v>7491.91</v>
      </c>
      <c r="G81" s="39">
        <f>6936.43</f>
        <v>6936.43</v>
      </c>
      <c r="H81" s="40">
        <f>7086.6</f>
        <v>7086.6</v>
      </c>
      <c r="I81" s="40">
        <f>3840.18</f>
        <v>3840.18</v>
      </c>
      <c r="J81" s="40">
        <f>1618.25</f>
        <v>1618.25</v>
      </c>
      <c r="K81" s="40">
        <f>2690.42</f>
        <v>2690.42</v>
      </c>
      <c r="L81" s="40">
        <f>5758.57</f>
        <v>5758.57</v>
      </c>
    </row>
    <row r="82" spans="1:12" ht="12.75" customHeight="1" x14ac:dyDescent="0.2">
      <c r="A82" s="104" t="s">
        <v>91</v>
      </c>
      <c r="B82" s="278">
        <v>1014.7</v>
      </c>
      <c r="C82" s="408"/>
      <c r="D82" s="408">
        <v>620.12</v>
      </c>
      <c r="E82" s="415">
        <v>896.53</v>
      </c>
      <c r="F82" s="405">
        <f>743.58</f>
        <v>743.58</v>
      </c>
      <c r="G82" s="39">
        <f>558.95</f>
        <v>558.95000000000005</v>
      </c>
      <c r="H82" s="40">
        <f>753</f>
        <v>753</v>
      </c>
      <c r="I82" s="40">
        <f>738.34</f>
        <v>738.34</v>
      </c>
      <c r="J82" s="40">
        <f>557.3</f>
        <v>557.29999999999995</v>
      </c>
      <c r="K82" s="40">
        <f>886.22</f>
        <v>886.22</v>
      </c>
      <c r="L82" s="40">
        <f>662.01</f>
        <v>662.01</v>
      </c>
    </row>
    <row r="83" spans="1:12" ht="12.75" customHeight="1" x14ac:dyDescent="0.2">
      <c r="A83" s="106" t="s">
        <v>138</v>
      </c>
      <c r="B83" s="275"/>
      <c r="C83" s="402"/>
      <c r="D83" s="402">
        <v>238.26</v>
      </c>
      <c r="E83" s="415">
        <v>236.79</v>
      </c>
      <c r="F83" s="405">
        <f>221.64</f>
        <v>221.64</v>
      </c>
      <c r="G83" s="39"/>
      <c r="H83" s="40"/>
      <c r="I83" s="40"/>
      <c r="J83" s="40"/>
      <c r="K83" s="62"/>
      <c r="L83" s="40">
        <f>303.23</f>
        <v>303.23</v>
      </c>
    </row>
    <row r="84" spans="1:12" ht="12.75" customHeight="1" x14ac:dyDescent="0.2">
      <c r="A84" s="111" t="s">
        <v>139</v>
      </c>
      <c r="B84" s="280"/>
      <c r="C84" s="410"/>
      <c r="D84" s="410"/>
      <c r="E84" s="415"/>
      <c r="F84" s="403"/>
      <c r="G84" s="39"/>
      <c r="H84" s="40"/>
      <c r="I84" s="40"/>
      <c r="J84" s="40"/>
      <c r="K84" s="62"/>
      <c r="L84" s="40">
        <f>7842</f>
        <v>7842</v>
      </c>
    </row>
    <row r="85" spans="1:12" ht="12.75" customHeight="1" x14ac:dyDescent="0.2">
      <c r="A85" s="104" t="s">
        <v>92</v>
      </c>
      <c r="B85" s="278">
        <v>15000</v>
      </c>
      <c r="C85" s="408"/>
      <c r="D85" s="408">
        <v>7157.56</v>
      </c>
      <c r="E85" s="415">
        <v>3483.08</v>
      </c>
      <c r="F85" s="405">
        <f>3486</f>
        <v>3486</v>
      </c>
      <c r="G85" s="39">
        <f>3561.98</f>
        <v>3561.98</v>
      </c>
      <c r="H85" s="40">
        <f>4390.65</f>
        <v>4390.6499999999996</v>
      </c>
      <c r="I85" s="40">
        <f>4926.15</f>
        <v>4926.1499999999996</v>
      </c>
      <c r="J85" s="40">
        <f>1853.74</f>
        <v>1853.74</v>
      </c>
      <c r="K85" s="40">
        <f>150</f>
        <v>150</v>
      </c>
      <c r="L85" s="40">
        <f>4969.94</f>
        <v>4969.9399999999996</v>
      </c>
    </row>
    <row r="86" spans="1:12" ht="12.75" customHeight="1" x14ac:dyDescent="0.2">
      <c r="A86" s="110" t="s">
        <v>140</v>
      </c>
      <c r="B86" s="284"/>
      <c r="C86" s="410"/>
      <c r="D86" s="410"/>
      <c r="E86" s="415"/>
      <c r="F86" s="403"/>
      <c r="G86" s="39"/>
      <c r="H86" s="40"/>
      <c r="I86" s="40"/>
      <c r="J86" s="40"/>
      <c r="K86" s="62"/>
      <c r="L86" s="40">
        <f>2424.28</f>
        <v>2424.2800000000002</v>
      </c>
    </row>
    <row r="87" spans="1:12" ht="12.75" customHeight="1" x14ac:dyDescent="0.2">
      <c r="A87" s="104" t="s">
        <v>93</v>
      </c>
      <c r="B87" s="278">
        <v>2000</v>
      </c>
      <c r="C87" s="408"/>
      <c r="D87" s="408">
        <v>665.31</v>
      </c>
      <c r="E87" s="415">
        <v>203.51</v>
      </c>
      <c r="F87" s="405">
        <f>4332.06</f>
        <v>4332.0600000000004</v>
      </c>
      <c r="G87" s="39">
        <f>4332.22</f>
        <v>4332.22</v>
      </c>
      <c r="H87" s="40">
        <f>3113.14</f>
        <v>3113.14</v>
      </c>
      <c r="I87" s="40">
        <f>4427.33</f>
        <v>4427.33</v>
      </c>
      <c r="J87" s="40">
        <f>4057.02</f>
        <v>4057.02</v>
      </c>
      <c r="K87" s="40">
        <f>3584.69</f>
        <v>3584.69</v>
      </c>
      <c r="L87" s="40">
        <f>3213.92</f>
        <v>3213.92</v>
      </c>
    </row>
    <row r="88" spans="1:12" ht="12.75" customHeight="1" x14ac:dyDescent="0.2">
      <c r="A88" s="104" t="s">
        <v>94</v>
      </c>
      <c r="B88" s="278">
        <v>6000</v>
      </c>
      <c r="C88" s="408"/>
      <c r="D88" s="408">
        <v>6232.77</v>
      </c>
      <c r="E88" s="415">
        <v>5713.1</v>
      </c>
      <c r="F88" s="405">
        <f>4829.83</f>
        <v>4829.83</v>
      </c>
      <c r="G88" s="39">
        <f>5095.89</f>
        <v>5095.8900000000003</v>
      </c>
      <c r="H88" s="40">
        <f>4082.96</f>
        <v>4082.96</v>
      </c>
      <c r="I88" s="40">
        <f>4071.52</f>
        <v>4071.52</v>
      </c>
      <c r="J88" s="40">
        <f>3722.92</f>
        <v>3722.92</v>
      </c>
      <c r="K88" s="40">
        <f>3641.2</f>
        <v>3641.2</v>
      </c>
      <c r="L88" s="40">
        <f>4401.5</f>
        <v>4401.5</v>
      </c>
    </row>
    <row r="89" spans="1:12" ht="12.75" customHeight="1" x14ac:dyDescent="0.2">
      <c r="A89" s="104" t="s">
        <v>95</v>
      </c>
      <c r="B89" s="278">
        <v>2400</v>
      </c>
      <c r="C89" s="408"/>
      <c r="D89" s="408">
        <v>2557.6</v>
      </c>
      <c r="E89" s="415">
        <v>2141.06</v>
      </c>
      <c r="F89" s="405">
        <f>1584.85</f>
        <v>1584.85</v>
      </c>
      <c r="G89" s="39">
        <f>1537.71</f>
        <v>1537.71</v>
      </c>
      <c r="H89" s="40">
        <f>1023.49</f>
        <v>1023.49</v>
      </c>
      <c r="I89" s="40">
        <f>1450.28</f>
        <v>1450.28</v>
      </c>
      <c r="J89" s="40">
        <f>1078.51</f>
        <v>1078.51</v>
      </c>
      <c r="K89" s="40">
        <f>880.02</f>
        <v>880.02</v>
      </c>
      <c r="L89" s="40">
        <f>806</f>
        <v>806</v>
      </c>
    </row>
    <row r="90" spans="1:12" ht="12.75" customHeight="1" x14ac:dyDescent="0.2">
      <c r="A90" s="104" t="s">
        <v>96</v>
      </c>
      <c r="B90" s="278">
        <v>1800</v>
      </c>
      <c r="C90" s="408"/>
      <c r="D90" s="408">
        <v>1472.97</v>
      </c>
      <c r="E90" s="415">
        <v>1372.84</v>
      </c>
      <c r="F90" s="405">
        <f>1206.41</f>
        <v>1206.4100000000001</v>
      </c>
      <c r="G90" s="39">
        <f>1171.1</f>
        <v>1171.0999999999999</v>
      </c>
      <c r="H90" s="40">
        <f>1053.02</f>
        <v>1053.02</v>
      </c>
      <c r="I90" s="40">
        <f>1309.97</f>
        <v>1309.97</v>
      </c>
      <c r="J90" s="40">
        <f>984.12</f>
        <v>984.12</v>
      </c>
      <c r="K90" s="40">
        <f>723.16</f>
        <v>723.16</v>
      </c>
      <c r="L90" s="40">
        <f>536.94</f>
        <v>536.94000000000005</v>
      </c>
    </row>
    <row r="91" spans="1:12" ht="12.75" customHeight="1" x14ac:dyDescent="0.2">
      <c r="A91" s="106" t="s">
        <v>97</v>
      </c>
      <c r="B91" s="275"/>
      <c r="C91" s="402"/>
      <c r="D91" s="402">
        <v>5350.56</v>
      </c>
      <c r="E91" s="415">
        <v>4856.79</v>
      </c>
      <c r="F91" s="405">
        <f>13951.02</f>
        <v>13951.02</v>
      </c>
      <c r="G91" s="39">
        <f>16463.02</f>
        <v>16463.02</v>
      </c>
      <c r="H91" s="40">
        <f>7561.35</f>
        <v>7561.35</v>
      </c>
      <c r="I91" s="40">
        <f>7401</f>
        <v>7401</v>
      </c>
      <c r="J91" s="40">
        <f>3041.45</f>
        <v>3041.45</v>
      </c>
      <c r="K91" s="40">
        <f>2428.04</f>
        <v>2428.04</v>
      </c>
      <c r="L91" s="40">
        <f>12422.13</f>
        <v>12422.13</v>
      </c>
    </row>
    <row r="92" spans="1:12" ht="12.75" customHeight="1" x14ac:dyDescent="0.2">
      <c r="A92" s="111" t="s">
        <v>141</v>
      </c>
      <c r="B92" s="277"/>
      <c r="C92" s="402"/>
      <c r="D92" s="402"/>
      <c r="E92" s="415"/>
      <c r="F92" s="403"/>
      <c r="G92" s="39"/>
      <c r="H92" s="40"/>
      <c r="I92" s="62"/>
      <c r="J92" s="40">
        <f>2180.84</f>
        <v>2180.84</v>
      </c>
      <c r="K92" s="40"/>
      <c r="L92" s="40"/>
    </row>
    <row r="93" spans="1:12" ht="12.75" customHeight="1" x14ac:dyDescent="0.2">
      <c r="A93" s="104" t="s">
        <v>98</v>
      </c>
      <c r="B93" s="278">
        <v>33000</v>
      </c>
      <c r="C93" s="408"/>
      <c r="D93" s="408">
        <v>27339.73</v>
      </c>
      <c r="E93" s="415">
        <v>23916.560000000001</v>
      </c>
      <c r="F93" s="405">
        <f>26160.27</f>
        <v>26160.27</v>
      </c>
      <c r="G93" s="39">
        <f>27282.5</f>
        <v>27282.5</v>
      </c>
      <c r="H93" s="40">
        <f>27813.71</f>
        <v>27813.71</v>
      </c>
      <c r="I93" s="40">
        <f>21586.97</f>
        <v>21586.97</v>
      </c>
      <c r="J93" s="40">
        <f>24934.58</f>
        <v>24934.58</v>
      </c>
      <c r="K93" s="40">
        <f>24662.26</f>
        <v>24662.26</v>
      </c>
      <c r="L93" s="40">
        <f>24076.85</f>
        <v>24076.85</v>
      </c>
    </row>
    <row r="94" spans="1:12" ht="12.75" customHeight="1" x14ac:dyDescent="0.2">
      <c r="A94" s="104" t="s">
        <v>99</v>
      </c>
      <c r="B94" s="278">
        <v>5000</v>
      </c>
      <c r="C94" s="408"/>
      <c r="D94" s="408">
        <v>4600.13</v>
      </c>
      <c r="E94" s="415">
        <v>4254.8</v>
      </c>
      <c r="F94" s="405">
        <f>4016.54</f>
        <v>4016.54</v>
      </c>
      <c r="G94" s="39">
        <f>5528.79</f>
        <v>5528.79</v>
      </c>
      <c r="H94" s="40">
        <f>3261.09</f>
        <v>3261.09</v>
      </c>
      <c r="I94" s="40">
        <f>2782.46</f>
        <v>2782.46</v>
      </c>
      <c r="J94" s="40">
        <f>5620.23</f>
        <v>5620.23</v>
      </c>
      <c r="K94" s="40">
        <f>4711.5</f>
        <v>4711.5</v>
      </c>
      <c r="L94" s="40">
        <f>5661.9</f>
        <v>5661.9</v>
      </c>
    </row>
    <row r="95" spans="1:12" ht="12.75" customHeight="1" x14ac:dyDescent="0.2">
      <c r="A95" s="110" t="s">
        <v>142</v>
      </c>
      <c r="B95" s="284"/>
      <c r="C95" s="410"/>
      <c r="D95" s="410"/>
      <c r="E95" s="415"/>
      <c r="F95" s="403"/>
      <c r="G95" s="39"/>
      <c r="H95" s="40"/>
      <c r="I95" s="62"/>
      <c r="J95" s="40">
        <f>66.22</f>
        <v>66.22</v>
      </c>
      <c r="K95" s="62"/>
      <c r="L95" s="40">
        <f>558.92</f>
        <v>558.91999999999996</v>
      </c>
    </row>
    <row r="96" spans="1:12" ht="12.75" customHeight="1" x14ac:dyDescent="0.2">
      <c r="A96" s="104" t="s">
        <v>100</v>
      </c>
      <c r="B96" s="285">
        <v>400</v>
      </c>
      <c r="C96" s="416"/>
      <c r="D96" s="416">
        <v>24</v>
      </c>
      <c r="E96" s="415">
        <v>310.22000000000003</v>
      </c>
      <c r="F96" s="405">
        <f>390.9</f>
        <v>390.9</v>
      </c>
      <c r="G96" s="39"/>
      <c r="H96" s="40"/>
      <c r="I96" s="40">
        <f>7.5</f>
        <v>7.5</v>
      </c>
      <c r="J96" s="40">
        <f>32.5</f>
        <v>32.5</v>
      </c>
      <c r="K96" s="40">
        <f>30</f>
        <v>30</v>
      </c>
      <c r="L96" s="40">
        <f>826.99</f>
        <v>826.99</v>
      </c>
    </row>
    <row r="97" spans="1:12" ht="12.75" customHeight="1" x14ac:dyDescent="0.2">
      <c r="A97" s="106" t="s">
        <v>101</v>
      </c>
      <c r="B97" s="275"/>
      <c r="C97" s="402"/>
      <c r="D97" s="402"/>
      <c r="E97" s="404"/>
      <c r="F97" s="405">
        <f>7708.6</f>
        <v>7708.6</v>
      </c>
      <c r="G97" s="396"/>
      <c r="H97" s="62"/>
      <c r="I97" s="62"/>
      <c r="J97" s="62"/>
      <c r="K97" s="62"/>
      <c r="L97" s="62"/>
    </row>
    <row r="98" spans="1:12" ht="12.75" customHeight="1" x14ac:dyDescent="0.2">
      <c r="A98" s="100" t="s">
        <v>102</v>
      </c>
      <c r="B98" s="276"/>
      <c r="C98" s="402"/>
      <c r="D98" s="402">
        <v>36720.79</v>
      </c>
      <c r="E98" s="415">
        <v>15226.95</v>
      </c>
      <c r="F98" s="405">
        <f>3210.56</f>
        <v>3210.56</v>
      </c>
      <c r="G98" s="39">
        <f>11767</f>
        <v>11767</v>
      </c>
      <c r="H98" s="40">
        <f>11562</f>
        <v>11562</v>
      </c>
      <c r="I98" s="40">
        <f>12146</f>
        <v>12146</v>
      </c>
      <c r="J98" s="40">
        <f>3883</f>
        <v>3883</v>
      </c>
      <c r="K98" s="40">
        <f>3694</f>
        <v>3694</v>
      </c>
      <c r="L98" s="40">
        <f>5357</f>
        <v>5357</v>
      </c>
    </row>
    <row r="99" spans="1:12" ht="12.75" customHeight="1" x14ac:dyDescent="0.2">
      <c r="A99" s="100" t="s">
        <v>103</v>
      </c>
      <c r="B99" s="276"/>
      <c r="C99" s="402"/>
      <c r="D99" s="402">
        <v>803</v>
      </c>
      <c r="E99" s="415">
        <v>5936.3</v>
      </c>
      <c r="F99" s="406">
        <f>F98+F97</f>
        <v>10919.16</v>
      </c>
      <c r="G99" s="51">
        <f>3910</f>
        <v>3910</v>
      </c>
      <c r="H99" s="52">
        <f>3082.25</f>
        <v>3082.25</v>
      </c>
      <c r="I99" s="52">
        <f>3013</f>
        <v>3013</v>
      </c>
      <c r="J99" s="52">
        <f>3072.91</f>
        <v>3072.91</v>
      </c>
      <c r="K99" s="52">
        <f>3003</f>
        <v>3003</v>
      </c>
      <c r="L99" s="52">
        <f>2002</f>
        <v>2002</v>
      </c>
    </row>
    <row r="100" spans="1:12" ht="12.75" customHeight="1" x14ac:dyDescent="0.2">
      <c r="A100" s="100" t="s">
        <v>104</v>
      </c>
      <c r="B100" s="276"/>
      <c r="C100" s="402"/>
      <c r="D100" s="402">
        <v>37523.79</v>
      </c>
      <c r="E100" s="407">
        <f>((E97)+(E98))+(E99)</f>
        <v>21163.25</v>
      </c>
      <c r="F100" s="405"/>
      <c r="G100" s="397">
        <f t="shared" ref="G100:L100" si="6">((G97)+(G98))+(G99)</f>
        <v>15677</v>
      </c>
      <c r="H100" s="33">
        <f t="shared" si="6"/>
        <v>14644.25</v>
      </c>
      <c r="I100" s="33">
        <f t="shared" si="6"/>
        <v>15159</v>
      </c>
      <c r="J100" s="33">
        <f t="shared" si="6"/>
        <v>6955.91</v>
      </c>
      <c r="K100" s="33">
        <f t="shared" si="6"/>
        <v>6697</v>
      </c>
      <c r="L100" s="33">
        <f t="shared" si="6"/>
        <v>7359</v>
      </c>
    </row>
    <row r="101" spans="1:12" ht="12.75" customHeight="1" x14ac:dyDescent="0.2">
      <c r="A101" s="100" t="s">
        <v>105</v>
      </c>
      <c r="B101" s="276"/>
      <c r="C101" s="402"/>
      <c r="D101" s="402">
        <v>4210.41</v>
      </c>
      <c r="E101" s="415">
        <v>468</v>
      </c>
      <c r="F101" s="406">
        <v>564</v>
      </c>
      <c r="G101" s="51">
        <f>1354</f>
        <v>1354</v>
      </c>
      <c r="H101" s="52">
        <f>336</f>
        <v>336</v>
      </c>
      <c r="I101" s="52">
        <f>465.12</f>
        <v>465.12</v>
      </c>
      <c r="J101" s="52">
        <f>685.52</f>
        <v>685.52</v>
      </c>
      <c r="K101" s="52">
        <f>710.35</f>
        <v>710.35</v>
      </c>
      <c r="L101" s="52">
        <f>685</f>
        <v>685</v>
      </c>
    </row>
    <row r="102" spans="1:12" ht="12.75" customHeight="1" x14ac:dyDescent="0.2">
      <c r="A102" s="100" t="s">
        <v>106</v>
      </c>
      <c r="B102" s="276"/>
      <c r="C102" s="402"/>
      <c r="D102" s="402">
        <v>462236.55</v>
      </c>
      <c r="E102" s="407">
        <f>E101+E100+E96+E94+E93+E91+E90+E89+E88+E87+E85+E83+E82+E81+E80+E78+E77+E76+E69+E68+E67+E65</f>
        <v>326992.63</v>
      </c>
      <c r="F102" s="406">
        <f>F101+F99+SUM(F77:F96)+F76+F69+F68+F67+F66+F65</f>
        <v>403215.35999999993</v>
      </c>
      <c r="G102" s="398">
        <f>((((((((((((((((((((G64)+(G66))+(G67))+(G68))+(G69))+(G76))+(G77))+(G78))+(G80))+(G81))+(G82))+(G85))+(G87))+(G88))+(G89))+(G90))+(G91))+(G93))+(G94))+(G100))+(G101)</f>
        <v>354194.76999999996</v>
      </c>
      <c r="H102" s="56">
        <f>((((((((((((((((((((H64)+(H66))+(H67))+(H68))+(H69))+(H76))+(H77))+(H78))+(H80))+(H81))+(H82))+(H85))+(H87))+(H88))+(H89))+(H90))+(H91))+(H93))+(H94))+(H100))+(H101)</f>
        <v>294010.50000000006</v>
      </c>
      <c r="I102" s="56">
        <f>((((((((((((((((((((((((I64)+(I65))+(I66))+(I67))+(I68))+(I69))+(I76))+(I77))+(I78))+(I80))+(I81))+(I82))+(I85))+(I87))+(I88))+(I89))+(I90))+(I91))+(I92))+(I93))+(I94))+(I95))+(I96))+(I100))+(I101)</f>
        <v>227737.00999999995</v>
      </c>
      <c r="J102" s="56">
        <f>((((((((((((((((((((((((J64)+(J65))+(J66))+(J67))+(J68))+(J69))+(J76))+(J77))+(J78))+(J80))+(J81))+(J82))+(J85))+(J87))+(J88))+(J89))+(J90))+(J91))+(J92))+(J93))+(J94))+(J95))+(J96))+(J100))+(J101)</f>
        <v>143595.69</v>
      </c>
      <c r="K102" s="56">
        <f>(((((((((((((((((((((((((((K64)+(K65))+(K66))+(K67))+(K68))+(K69))+(K76))+(K77))+(K78))+(K79))+(K80))+(K81))+(K82))+(K83))+(K84))+(K85))+(K86))+(K87))+(K88))+(K89))+(K90))+(K91))+(K93))+(K94))+(K95))+(K96))+(K100))+(K101)</f>
        <v>116565.33</v>
      </c>
      <c r="L102" s="56">
        <f>(((((((((((((((((((((((((((L64)+(L65))+(L66))+(L67))+(L68))+(L69))+(L76))+(L77))+(L78))+(L79))+(L80))+(L81))+(L82))+(L83))+(L84))+(L85))+(L86))+(L87))+(L88))+(L89))+(L90))+(L91))+(L93))+(L94))+(L95))+(L96))+(L100))+(L101)</f>
        <v>134186.38</v>
      </c>
    </row>
    <row r="103" spans="1:12" ht="12.75" customHeight="1" x14ac:dyDescent="0.2">
      <c r="A103" s="100" t="s">
        <v>107</v>
      </c>
      <c r="B103" s="276"/>
      <c r="C103" s="402"/>
      <c r="D103" s="402">
        <v>7733507.4500000002</v>
      </c>
      <c r="E103" s="407">
        <f>E102+E63+E44</f>
        <v>6163314.7199999997</v>
      </c>
      <c r="F103" s="417">
        <f>F44+F63+F102</f>
        <v>5827261.0700000012</v>
      </c>
      <c r="G103" s="398">
        <f t="shared" ref="G103:L103" si="7">((G44)+(G63))+(G102)</f>
        <v>6017674.0499999998</v>
      </c>
      <c r="H103" s="56">
        <f t="shared" si="7"/>
        <v>5427947.7500000009</v>
      </c>
      <c r="I103" s="56">
        <f t="shared" si="7"/>
        <v>4693238.6399999997</v>
      </c>
      <c r="J103" s="56">
        <f t="shared" si="7"/>
        <v>3850169.98</v>
      </c>
      <c r="K103" s="56">
        <f t="shared" si="7"/>
        <v>3373675.9999999995</v>
      </c>
      <c r="L103" s="56">
        <f t="shared" si="7"/>
        <v>2735557.44</v>
      </c>
    </row>
    <row r="104" spans="1:12" ht="12.75" customHeight="1" x14ac:dyDescent="0.2">
      <c r="A104" s="100" t="s">
        <v>108</v>
      </c>
      <c r="B104" s="276"/>
      <c r="C104" s="402"/>
      <c r="D104" s="402">
        <v>-34213.769999999997</v>
      </c>
      <c r="E104" s="407">
        <f>(E24)-(E103)</f>
        <v>128892.88999999966</v>
      </c>
      <c r="F104" s="417">
        <f>F23-F103</f>
        <v>15556.729999999516</v>
      </c>
      <c r="G104" s="397">
        <f t="shared" ref="G104:L104" si="8">(G24)-(G103)</f>
        <v>-57758.160000000149</v>
      </c>
      <c r="H104" s="33">
        <f t="shared" si="8"/>
        <v>201233.61999999918</v>
      </c>
      <c r="I104" s="33">
        <f t="shared" si="8"/>
        <v>-211250.07999999914</v>
      </c>
      <c r="J104" s="33">
        <f t="shared" si="8"/>
        <v>119195.9299999997</v>
      </c>
      <c r="K104" s="33">
        <f t="shared" si="8"/>
        <v>200035.0700000003</v>
      </c>
      <c r="L104" s="33">
        <f t="shared" si="8"/>
        <v>-13711.020000000484</v>
      </c>
    </row>
    <row r="105" spans="1:12" ht="12.75" customHeight="1" x14ac:dyDescent="0.2">
      <c r="A105" s="107" t="s">
        <v>143</v>
      </c>
      <c r="B105" s="286"/>
      <c r="C105" s="410"/>
      <c r="D105" s="410"/>
      <c r="E105" s="407"/>
      <c r="F105" s="403"/>
      <c r="G105" s="400"/>
      <c r="H105" s="112"/>
      <c r="I105" s="62"/>
      <c r="J105" s="62"/>
      <c r="K105" s="62"/>
      <c r="L105" s="62"/>
    </row>
    <row r="106" spans="1:12" ht="12.75" customHeight="1" x14ac:dyDescent="0.2">
      <c r="A106" s="107" t="s">
        <v>144</v>
      </c>
      <c r="B106" s="286"/>
      <c r="C106" s="410"/>
      <c r="D106" s="410"/>
      <c r="E106" s="407"/>
      <c r="F106" s="403"/>
      <c r="G106" s="400"/>
      <c r="H106" s="112"/>
      <c r="I106" s="62"/>
      <c r="J106" s="62"/>
      <c r="K106" s="40">
        <f>20755</f>
        <v>20755</v>
      </c>
      <c r="L106" s="40">
        <f>17798</f>
        <v>17798</v>
      </c>
    </row>
    <row r="107" spans="1:12" ht="12.75" customHeight="1" x14ac:dyDescent="0.2">
      <c r="A107" s="107" t="s">
        <v>145</v>
      </c>
      <c r="B107" s="286"/>
      <c r="C107" s="410"/>
      <c r="D107" s="410"/>
      <c r="E107" s="407"/>
      <c r="F107" s="403"/>
      <c r="G107" s="399"/>
      <c r="H107" s="109"/>
      <c r="I107" s="108"/>
      <c r="J107" s="52">
        <f t="shared" si="4"/>
        <v>0</v>
      </c>
      <c r="K107" s="52">
        <f>-371.66</f>
        <v>-371.66</v>
      </c>
      <c r="L107" s="52">
        <f>-1885.89</f>
        <v>-1885.89</v>
      </c>
    </row>
    <row r="108" spans="1:12" ht="12.75" customHeight="1" x14ac:dyDescent="0.2">
      <c r="A108" s="107" t="s">
        <v>146</v>
      </c>
      <c r="B108" s="286"/>
      <c r="C108" s="410"/>
      <c r="D108" s="410"/>
      <c r="E108" s="407">
        <f>(E106)+(E107)</f>
        <v>0</v>
      </c>
      <c r="F108" s="403"/>
      <c r="G108" s="398">
        <f t="shared" ref="G108:L108" si="9">(G106)+(G107)</f>
        <v>0</v>
      </c>
      <c r="H108" s="56">
        <f t="shared" si="9"/>
        <v>0</v>
      </c>
      <c r="I108" s="56">
        <f t="shared" si="9"/>
        <v>0</v>
      </c>
      <c r="J108" s="56">
        <f t="shared" si="9"/>
        <v>0</v>
      </c>
      <c r="K108" s="56">
        <f t="shared" si="9"/>
        <v>20383.34</v>
      </c>
      <c r="L108" s="56">
        <f t="shared" si="9"/>
        <v>15912.11</v>
      </c>
    </row>
    <row r="109" spans="1:12" ht="12.75" customHeight="1" x14ac:dyDescent="0.2">
      <c r="A109" s="107" t="s">
        <v>147</v>
      </c>
      <c r="B109" s="286"/>
      <c r="C109" s="410"/>
      <c r="D109" s="410"/>
      <c r="E109" s="407">
        <f>(0)-(E108)</f>
        <v>0</v>
      </c>
      <c r="F109" s="403"/>
      <c r="G109" s="398">
        <f t="shared" ref="G109:L109" si="10">(0)-(G108)</f>
        <v>0</v>
      </c>
      <c r="H109" s="56">
        <f t="shared" si="10"/>
        <v>0</v>
      </c>
      <c r="I109" s="56">
        <f t="shared" si="10"/>
        <v>0</v>
      </c>
      <c r="J109" s="56">
        <f t="shared" si="10"/>
        <v>0</v>
      </c>
      <c r="K109" s="56">
        <f t="shared" si="10"/>
        <v>-20383.34</v>
      </c>
      <c r="L109" s="56">
        <f t="shared" si="10"/>
        <v>-15912.11</v>
      </c>
    </row>
    <row r="110" spans="1:12" ht="16" customHeight="1" x14ac:dyDescent="0.2">
      <c r="A110" s="107" t="s">
        <v>109</v>
      </c>
      <c r="B110" s="395"/>
      <c r="C110" s="410"/>
      <c r="D110" s="410">
        <v>-34213.769999999997</v>
      </c>
      <c r="E110" s="407">
        <f>(E104)+(0)</f>
        <v>128892.88999999966</v>
      </c>
      <c r="F110" s="417">
        <f>F104</f>
        <v>15556.729999999516</v>
      </c>
      <c r="G110" s="397">
        <f>(G104)+(0)</f>
        <v>-57758.160000000149</v>
      </c>
      <c r="H110" s="33">
        <f>(H104)+(0)</f>
        <v>201233.61999999918</v>
      </c>
      <c r="I110" s="33">
        <f>(I104)+(I109)</f>
        <v>-211250.07999999914</v>
      </c>
      <c r="J110" s="33">
        <f>(J104)+(J109)</f>
        <v>119195.9299999997</v>
      </c>
      <c r="K110" s="33">
        <f>(K104)+(K109)</f>
        <v>179651.7300000003</v>
      </c>
      <c r="L110" s="33">
        <f>(L104)+(L109)</f>
        <v>-29623.130000000485</v>
      </c>
    </row>
    <row r="111" spans="1:12" ht="16" customHeight="1" x14ac:dyDescent="0.2">
      <c r="A111" s="113"/>
      <c r="B111" s="114"/>
      <c r="C111" s="287"/>
      <c r="D111" s="287"/>
      <c r="E111" s="287"/>
      <c r="F111" s="59"/>
      <c r="G111" s="7"/>
      <c r="H111" s="7"/>
      <c r="I111" s="7"/>
      <c r="J111" s="7"/>
      <c r="K111" s="7"/>
      <c r="L111" s="7"/>
    </row>
    <row r="113" spans="5:5" ht="15" customHeight="1" x14ac:dyDescent="0.2">
      <c r="E113" s="288">
        <f>6163314.72-E103</f>
        <v>0</v>
      </c>
    </row>
  </sheetData>
  <pageMargins left="0.2" right="0.2" top="0.5" bottom="0.5" header="0.3" footer="0.3"/>
  <pageSetup orientation="landscape"/>
  <headerFooter>
    <oddFooter>&amp;L&amp;"Calibri,Regular"&amp;12&amp;K000000New Budget Template 2022 2023 v51122(1).xlsx&amp;C&amp;"Calibri,Regular"&amp;12&amp;K000000Forecast on Yearly Trend&amp;R&amp;"Calibri,Regular"&amp;12&amp;K000000Page &amp;P of &amp;N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99FF33"/>
    <pageSetUpPr fitToPage="1"/>
  </sheetPr>
  <dimension ref="A1:R97"/>
  <sheetViews>
    <sheetView showGridLines="0" zoomScaleNormal="100" workbookViewId="0">
      <pane ySplit="4" topLeftCell="A5" activePane="bottomLeft" state="frozen"/>
      <selection pane="bottomLeft" activeCell="P10" sqref="P10"/>
    </sheetView>
  </sheetViews>
  <sheetFormatPr baseColWidth="10" defaultColWidth="11" defaultRowHeight="16" customHeight="1" x14ac:dyDescent="0.2"/>
  <cols>
    <col min="1" max="1" width="42.1640625" style="5" bestFit="1" customWidth="1"/>
    <col min="2" max="14" width="11.6640625" style="5" customWidth="1"/>
    <col min="15" max="15" width="4.1640625" style="5" customWidth="1"/>
    <col min="16" max="16" width="11.1640625" style="5" customWidth="1"/>
    <col min="17" max="17" width="11" style="5" customWidth="1"/>
    <col min="18" max="18" width="11.83203125" style="5" customWidth="1"/>
    <col min="19" max="19" width="11" style="5" customWidth="1"/>
    <col min="20" max="16384" width="11" style="5"/>
  </cols>
  <sheetData>
    <row r="1" spans="1:18" ht="15.5" customHeight="1" x14ac:dyDescent="0.2">
      <c r="A1" s="6" t="s">
        <v>6</v>
      </c>
      <c r="B1" s="7"/>
      <c r="C1" s="7"/>
      <c r="D1" s="7"/>
      <c r="E1" s="7"/>
      <c r="F1" s="7"/>
      <c r="G1" s="7"/>
      <c r="H1" s="7"/>
      <c r="I1" s="7"/>
      <c r="J1" s="7"/>
      <c r="K1" s="7"/>
      <c r="L1" s="7"/>
      <c r="M1" s="7"/>
      <c r="N1" s="7"/>
      <c r="O1" s="7"/>
      <c r="P1" s="7"/>
      <c r="Q1" s="7"/>
      <c r="R1" s="7"/>
    </row>
    <row r="2" spans="1:18" ht="15.5" customHeight="1" x14ac:dyDescent="0.2">
      <c r="A2" s="9" t="str">
        <f>CONCATENATE("Proposed Budget for ",'Proposed Budget'!$R$5," - Wages &amp; Revenue")</f>
        <v>Proposed Budget for 2025-26 - Wages &amp; Revenue</v>
      </c>
      <c r="B2" s="7"/>
      <c r="C2" s="7"/>
      <c r="D2" s="7"/>
      <c r="E2" s="7"/>
      <c r="F2" s="7"/>
      <c r="G2" s="7"/>
      <c r="H2" s="7"/>
      <c r="I2" s="7"/>
      <c r="J2" s="7"/>
      <c r="K2" s="7"/>
      <c r="L2" s="7"/>
      <c r="M2" s="7"/>
      <c r="N2" s="7"/>
      <c r="O2" s="7"/>
      <c r="P2" s="7"/>
      <c r="Q2" s="7"/>
      <c r="R2" s="7"/>
    </row>
    <row r="3" spans="1:18" ht="15.5" customHeight="1" x14ac:dyDescent="0.2">
      <c r="A3" s="7"/>
      <c r="B3" s="7"/>
      <c r="C3" s="7"/>
      <c r="D3" s="7"/>
      <c r="E3" s="7"/>
      <c r="F3" s="7"/>
      <c r="G3" s="7"/>
      <c r="H3" s="7"/>
      <c r="I3" s="7"/>
      <c r="J3" s="7"/>
      <c r="K3" s="7"/>
      <c r="L3" s="7"/>
      <c r="M3" s="7"/>
      <c r="N3" s="7"/>
      <c r="O3" s="7"/>
      <c r="P3" s="7"/>
      <c r="Q3" s="7"/>
      <c r="R3" s="7"/>
    </row>
    <row r="4" spans="1:18" ht="15.5" customHeight="1" x14ac:dyDescent="0.2">
      <c r="A4" s="11"/>
      <c r="B4" s="10" t="str">
        <f>CONCATENATE("Jul '",MID('Proposed Budget'!$R$5,3,2))</f>
        <v>Jul '25</v>
      </c>
      <c r="C4" s="10" t="str">
        <f>CONCATENATE("Aug '",MID('Proposed Budget'!$R$5,3,2))</f>
        <v>Aug '25</v>
      </c>
      <c r="D4" s="10" t="str">
        <f>CONCATENATE("Sep '",MID('Proposed Budget'!$R$5,3,2))</f>
        <v>Sep '25</v>
      </c>
      <c r="E4" s="10" t="str">
        <f>CONCATENATE("Oct '",MID('Proposed Budget'!$R$5,3,2))</f>
        <v>Oct '25</v>
      </c>
      <c r="F4" s="10" t="str">
        <f>CONCATENATE("Nov '",MID('Proposed Budget'!$R$5,3,2))</f>
        <v>Nov '25</v>
      </c>
      <c r="G4" s="10" t="str">
        <f>CONCATENATE("Dec '",MID('Proposed Budget'!$R$5,3,2))</f>
        <v>Dec '25</v>
      </c>
      <c r="H4" s="10" t="str">
        <f>CONCATENATE("Jan '",MID('Proposed Budget'!$R$5,6,2))</f>
        <v>Jan '26</v>
      </c>
      <c r="I4" s="10" t="str">
        <f>CONCATENATE("Feb '",MID('Proposed Budget'!$R$5,6,2))</f>
        <v>Feb '26</v>
      </c>
      <c r="J4" s="10" t="str">
        <f>CONCATENATE("Mar '",MID('Proposed Budget'!$R$5,6,2))</f>
        <v>Mar '26</v>
      </c>
      <c r="K4" s="10" t="str">
        <f>CONCATENATE("Apr '",MID('Proposed Budget'!$R$5,6,2))</f>
        <v>Apr '26</v>
      </c>
      <c r="L4" s="10" t="str">
        <f>CONCATENATE("May '",MID('Proposed Budget'!$R$5,6,2))</f>
        <v>May '26</v>
      </c>
      <c r="M4" s="10" t="str">
        <f>CONCATENATE("Jun '",MID('Proposed Budget'!$R$5,6,2))</f>
        <v>Jun '26</v>
      </c>
      <c r="N4" s="10" t="s">
        <v>7</v>
      </c>
      <c r="O4" s="115"/>
      <c r="P4" s="7"/>
      <c r="Q4" s="7"/>
      <c r="R4" s="7"/>
    </row>
    <row r="5" spans="1:18" ht="15.5" customHeight="1" x14ac:dyDescent="0.2">
      <c r="A5" s="265" t="s">
        <v>149</v>
      </c>
      <c r="B5" s="117"/>
      <c r="C5" s="118"/>
      <c r="D5" s="118"/>
      <c r="E5" s="118"/>
      <c r="F5" s="118"/>
      <c r="G5" s="118"/>
      <c r="H5" s="118"/>
      <c r="I5" s="118"/>
      <c r="J5" s="118"/>
      <c r="K5" s="118"/>
      <c r="L5" s="118"/>
      <c r="M5" s="118"/>
      <c r="N5" s="119"/>
      <c r="O5" s="115"/>
      <c r="Q5" s="7"/>
      <c r="R5" s="7"/>
    </row>
    <row r="6" spans="1:18" ht="15.5" customHeight="1" x14ac:dyDescent="0.2">
      <c r="A6" s="120"/>
      <c r="B6" s="121"/>
      <c r="C6" s="121"/>
      <c r="D6" s="121"/>
      <c r="E6" s="121"/>
      <c r="F6" s="121"/>
      <c r="G6" s="121"/>
      <c r="H6" s="121"/>
      <c r="I6" s="121"/>
      <c r="J6" s="121"/>
      <c r="K6" s="121"/>
      <c r="L6" s="121"/>
      <c r="M6" s="121"/>
      <c r="N6" s="115"/>
      <c r="O6" s="115"/>
      <c r="P6" s="10" t="s">
        <v>150</v>
      </c>
      <c r="Q6" s="7"/>
      <c r="R6" s="7"/>
    </row>
    <row r="7" spans="1:18" ht="15.5" customHeight="1" x14ac:dyDescent="0.2">
      <c r="A7" s="122" t="s">
        <v>151</v>
      </c>
      <c r="B7" s="123">
        <f>Hours!D168*21.75</f>
        <v>208359.5625</v>
      </c>
      <c r="C7" s="123">
        <f>Hours!E168*21.75</f>
        <v>208935.9375</v>
      </c>
      <c r="D7" s="123">
        <f>Hours!F168*21.75</f>
        <v>206668.5</v>
      </c>
      <c r="E7" s="123">
        <f>Hours!G168*21.75</f>
        <v>207761.4375</v>
      </c>
      <c r="F7" s="123">
        <f>Hours!H168*21.75</f>
        <v>206211.75</v>
      </c>
      <c r="G7" s="123">
        <f>Hours!I168*21.75</f>
        <v>197903.25</v>
      </c>
      <c r="H7" s="123">
        <f>Hours!J168*$P7</f>
        <v>219793.4375</v>
      </c>
      <c r="I7" s="123">
        <f>Hours!K168*$P7</f>
        <v>207822.00833333336</v>
      </c>
      <c r="J7" s="123">
        <f>Hours!L168*$P7</f>
        <v>218542.1875</v>
      </c>
      <c r="K7" s="123">
        <f>Hours!M168*$P7</f>
        <v>215419.75</v>
      </c>
      <c r="L7" s="123">
        <f>Hours!N168*$P7</f>
        <v>218769.6875</v>
      </c>
      <c r="M7" s="123">
        <f>Hours!O168*$P7</f>
        <v>218650.25</v>
      </c>
      <c r="N7" s="87">
        <f>SUM(B7:M7)</f>
        <v>2534837.7583333333</v>
      </c>
      <c r="O7" s="124"/>
      <c r="P7" s="123">
        <v>22.75</v>
      </c>
      <c r="Q7" s="67" t="s">
        <v>21</v>
      </c>
      <c r="R7" s="7"/>
    </row>
    <row r="8" spans="1:18" ht="15.5" customHeight="1" x14ac:dyDescent="0.2">
      <c r="A8" s="122" t="s">
        <v>152</v>
      </c>
      <c r="B8" s="123">
        <f>Hours!D169*$P8</f>
        <v>56285.25</v>
      </c>
      <c r="C8" s="123">
        <f>Hours!E169*$P8</f>
        <v>56143.25</v>
      </c>
      <c r="D8" s="123">
        <f>Hours!F169*$P8</f>
        <v>54368.25</v>
      </c>
      <c r="E8" s="123">
        <f>Hours!G169*$P8</f>
        <v>56285.25</v>
      </c>
      <c r="F8" s="123">
        <f>Hours!H169*$P8</f>
        <v>54368.25</v>
      </c>
      <c r="G8" s="123">
        <f>Hours!I169*$P8</f>
        <v>54017.983333333337</v>
      </c>
      <c r="H8" s="123">
        <f>Hours!J169*$P8</f>
        <v>56285.25</v>
      </c>
      <c r="I8" s="123">
        <f>Hours!K169*$P8</f>
        <v>52439.416666666679</v>
      </c>
      <c r="J8" s="123">
        <f>Hours!L169*$P8</f>
        <v>56143.25</v>
      </c>
      <c r="K8" s="123">
        <f>Hours!M169*$P8</f>
        <v>54368.25</v>
      </c>
      <c r="L8" s="123">
        <f>Hours!N169*$P8</f>
        <v>56285.25</v>
      </c>
      <c r="M8" s="123">
        <f>Hours!O169*$P8</f>
        <v>54226.25</v>
      </c>
      <c r="N8" s="87">
        <f>SUM(B8:M8)</f>
        <v>661215.9</v>
      </c>
      <c r="O8" s="124"/>
      <c r="P8" s="123">
        <v>17.75</v>
      </c>
      <c r="Q8" s="67" t="s">
        <v>21</v>
      </c>
      <c r="R8" s="7"/>
    </row>
    <row r="9" spans="1:18" ht="15.5" customHeight="1" x14ac:dyDescent="0.2">
      <c r="A9" s="122" t="s">
        <v>153</v>
      </c>
      <c r="B9" s="123">
        <f>Hours!D170*21.75</f>
        <v>16464.75</v>
      </c>
      <c r="C9" s="123">
        <f>Hours!E170*21.75</f>
        <v>16464.75</v>
      </c>
      <c r="D9" s="123">
        <f>Hours!F170*21.75</f>
        <v>15747</v>
      </c>
      <c r="E9" s="123">
        <f>Hours!G170*21.75</f>
        <v>16464.75</v>
      </c>
      <c r="F9" s="123">
        <f>Hours!H170*21.75</f>
        <v>15747</v>
      </c>
      <c r="G9" s="123">
        <f>Hours!I170*21.75</f>
        <v>15225</v>
      </c>
      <c r="H9" s="123">
        <f>Hours!J170*$P9</f>
        <v>17221.75</v>
      </c>
      <c r="I9" s="123">
        <f>Hours!K170*$P9</f>
        <v>15925</v>
      </c>
      <c r="J9" s="123">
        <f>Hours!L170*$P9</f>
        <v>17221.75</v>
      </c>
      <c r="K9" s="123">
        <f>Hours!M170*$P9</f>
        <v>16471</v>
      </c>
      <c r="L9" s="123">
        <f>Hours!N170*$P9</f>
        <v>17221.75</v>
      </c>
      <c r="M9" s="123">
        <f>Hours!O170*$P9</f>
        <v>16471</v>
      </c>
      <c r="N9" s="87">
        <f>SUM(B9:M9)</f>
        <v>196645.5</v>
      </c>
      <c r="O9" s="124"/>
      <c r="P9" s="123">
        <v>22.75</v>
      </c>
      <c r="Q9" s="67" t="s">
        <v>21</v>
      </c>
      <c r="R9" s="7"/>
    </row>
    <row r="10" spans="1:18" ht="15.5" customHeight="1" x14ac:dyDescent="0.2">
      <c r="A10" s="124"/>
      <c r="B10" s="124"/>
      <c r="C10" s="124"/>
      <c r="D10" s="124"/>
      <c r="E10" s="124"/>
      <c r="F10" s="124"/>
      <c r="G10" s="124"/>
      <c r="H10" s="124"/>
      <c r="I10" s="124"/>
      <c r="J10" s="124"/>
      <c r="K10" s="124"/>
      <c r="L10" s="124"/>
      <c r="M10" s="124"/>
      <c r="N10" s="124"/>
      <c r="O10" s="124"/>
      <c r="P10" s="123"/>
      <c r="Q10" s="124"/>
      <c r="R10" s="7"/>
    </row>
    <row r="11" spans="1:18" ht="15.5" customHeight="1" x14ac:dyDescent="0.2">
      <c r="A11" s="125"/>
      <c r="B11" s="125"/>
      <c r="C11" s="125"/>
      <c r="D11" s="125"/>
      <c r="E11" s="125"/>
      <c r="F11" s="125"/>
      <c r="G11" s="125"/>
      <c r="H11" s="125"/>
      <c r="I11" s="125"/>
      <c r="J11" s="125"/>
      <c r="K11" s="125"/>
      <c r="L11" s="125"/>
      <c r="M11" s="125"/>
      <c r="N11" s="125"/>
      <c r="O11" s="124"/>
      <c r="P11" s="123"/>
      <c r="Q11" s="124"/>
      <c r="R11" s="7"/>
    </row>
    <row r="12" spans="1:18" ht="15.5" customHeight="1" x14ac:dyDescent="0.2">
      <c r="A12" s="126" t="s">
        <v>154</v>
      </c>
      <c r="B12" s="127">
        <f>SUM(B7:B11)</f>
        <v>281109.5625</v>
      </c>
      <c r="C12" s="127">
        <f t="shared" ref="C12:M12" si="0">SUM(C7:C11)</f>
        <v>281543.9375</v>
      </c>
      <c r="D12" s="127">
        <f t="shared" si="0"/>
        <v>276783.75</v>
      </c>
      <c r="E12" s="127">
        <f t="shared" si="0"/>
        <v>280511.4375</v>
      </c>
      <c r="F12" s="127">
        <f t="shared" si="0"/>
        <v>276327</v>
      </c>
      <c r="G12" s="127">
        <f t="shared" si="0"/>
        <v>267146.23333333334</v>
      </c>
      <c r="H12" s="127">
        <f t="shared" si="0"/>
        <v>293300.4375</v>
      </c>
      <c r="I12" s="127">
        <f t="shared" si="0"/>
        <v>276186.42500000005</v>
      </c>
      <c r="J12" s="127">
        <f t="shared" si="0"/>
        <v>291907.1875</v>
      </c>
      <c r="K12" s="127">
        <f t="shared" si="0"/>
        <v>286259</v>
      </c>
      <c r="L12" s="127">
        <f t="shared" si="0"/>
        <v>292276.6875</v>
      </c>
      <c r="M12" s="127">
        <f t="shared" si="0"/>
        <v>289347.5</v>
      </c>
      <c r="N12" s="127">
        <f>SUM(N7:N11)</f>
        <v>3392699.1583333332</v>
      </c>
      <c r="O12" s="128"/>
      <c r="P12" s="124"/>
      <c r="Q12" s="123"/>
      <c r="R12" s="7"/>
    </row>
    <row r="13" spans="1:18" ht="15.5" customHeight="1" x14ac:dyDescent="0.2">
      <c r="A13" s="129"/>
      <c r="B13" s="130"/>
      <c r="C13" s="130"/>
      <c r="D13" s="130"/>
      <c r="E13" s="130"/>
      <c r="F13" s="130"/>
      <c r="G13" s="130"/>
      <c r="H13" s="130"/>
      <c r="I13" s="130"/>
      <c r="J13" s="130"/>
      <c r="K13" s="130"/>
      <c r="L13" s="130"/>
      <c r="M13" s="130"/>
      <c r="N13" s="130"/>
      <c r="O13" s="124"/>
      <c r="P13" s="124"/>
      <c r="Q13" s="123"/>
      <c r="R13" s="7"/>
    </row>
    <row r="14" spans="1:18" ht="15.5" customHeight="1" x14ac:dyDescent="0.2">
      <c r="A14" s="129"/>
      <c r="B14" s="130"/>
      <c r="C14" s="130"/>
      <c r="D14" s="130"/>
      <c r="E14" s="130"/>
      <c r="F14" s="130"/>
      <c r="G14" s="130"/>
      <c r="H14" s="130"/>
      <c r="I14" s="130"/>
      <c r="J14" s="130"/>
      <c r="K14" s="130"/>
      <c r="L14" s="130"/>
      <c r="M14" s="130"/>
      <c r="N14" s="130"/>
      <c r="O14" s="124"/>
      <c r="P14" s="124"/>
      <c r="Q14" s="124"/>
      <c r="R14" s="7"/>
    </row>
    <row r="15" spans="1:18" ht="15.5" customHeight="1" x14ac:dyDescent="0.2">
      <c r="A15" s="135" t="s">
        <v>162</v>
      </c>
      <c r="B15" s="136">
        <f>(2*(5600*1.075))+3*(6100*1.075)+(6400*1.075)+(6850*1.075)</f>
        <v>45956.25</v>
      </c>
      <c r="C15" s="136">
        <f>(2*(5600*1.075))+3*(6100*1.075)+(6400*1.075)+(6850*1.075)</f>
        <v>45956.25</v>
      </c>
      <c r="D15" s="136">
        <f>(2*(5600*1.075))+3*(6100*1.075)+(6400*1.075)+(6850*1.075)+5000</f>
        <v>50956.25</v>
      </c>
      <c r="E15" s="136">
        <f>(2*(5600*1.075))+3*(6100*1.075)+(6400*1.075)+(6850*1.075)</f>
        <v>45956.25</v>
      </c>
      <c r="F15" s="136">
        <f>(2*(5600*1.075))+3*(6100*1.075)+(6400*1.075)+(6850*1.075)</f>
        <v>45956.25</v>
      </c>
      <c r="G15" s="136">
        <f>(2*(5600*1.075))+3*(6100*1.075)+(6400*1.075)+(6850*1.075)+5000</f>
        <v>50956.25</v>
      </c>
      <c r="H15" s="136">
        <f>((2*(5600*1.125))+(4*(6100*1.125)+(6850*1.125)))*1.05</f>
        <v>50144.0625</v>
      </c>
      <c r="I15" s="136">
        <f>((2*(5600*1.125))+(4*(6100*1.125)+(6850*1.125)))*1.05</f>
        <v>50144.0625</v>
      </c>
      <c r="J15" s="136">
        <f>(((2*(5600*1.125))+(4*(6100*1.125)+(6850*1.125)))*1.05)+5000</f>
        <v>55144.0625</v>
      </c>
      <c r="K15" s="393">
        <v>50144.06</v>
      </c>
      <c r="L15" s="393">
        <v>50144.06</v>
      </c>
      <c r="M15" s="136">
        <f>(((2*(5600*1.125))+(4*(6100*1.125)+(6850*1.125)))*1.05)+5000</f>
        <v>55144.0625</v>
      </c>
      <c r="N15" s="137">
        <f>SUM(B15:M15)</f>
        <v>596601.87</v>
      </c>
      <c r="O15" s="124"/>
      <c r="P15" s="25" t="s">
        <v>15</v>
      </c>
      <c r="Q15" s="124"/>
      <c r="R15" s="7"/>
    </row>
    <row r="16" spans="1:18" ht="15.5" customHeight="1" x14ac:dyDescent="0.2">
      <c r="A16" s="135" t="s">
        <v>163</v>
      </c>
      <c r="B16" s="136">
        <f t="shared" ref="B16:M16" si="1">6600+(168*25)+(168*26)+(84*26)</f>
        <v>17352</v>
      </c>
      <c r="C16" s="136">
        <f t="shared" si="1"/>
        <v>17352</v>
      </c>
      <c r="D16" s="136">
        <f t="shared" si="1"/>
        <v>17352</v>
      </c>
      <c r="E16" s="136">
        <f t="shared" si="1"/>
        <v>17352</v>
      </c>
      <c r="F16" s="136">
        <f t="shared" si="1"/>
        <v>17352</v>
      </c>
      <c r="G16" s="136">
        <f t="shared" si="1"/>
        <v>17352</v>
      </c>
      <c r="H16" s="136">
        <f>(6600+(168*25)+(168*26)+(84*26))*1.05</f>
        <v>18219.600000000002</v>
      </c>
      <c r="I16" s="136">
        <f t="shared" ref="I16:M16" si="2">(6600+(168*25)+(168*26)+(84*26))*1.05</f>
        <v>18219.600000000002</v>
      </c>
      <c r="J16" s="136">
        <f t="shared" si="2"/>
        <v>18219.600000000002</v>
      </c>
      <c r="K16" s="136">
        <f t="shared" si="2"/>
        <v>18219.600000000002</v>
      </c>
      <c r="L16" s="136">
        <f t="shared" si="2"/>
        <v>18219.600000000002</v>
      </c>
      <c r="M16" s="136">
        <f t="shared" si="2"/>
        <v>18219.600000000002</v>
      </c>
      <c r="N16" s="137">
        <f>SUM(B16:M16)</f>
        <v>213429.60000000003</v>
      </c>
      <c r="O16" s="124"/>
      <c r="P16" s="25" t="s">
        <v>15</v>
      </c>
      <c r="Q16" s="124"/>
      <c r="R16" s="7"/>
    </row>
    <row r="17" spans="1:18" ht="15.5" customHeight="1" x14ac:dyDescent="0.2">
      <c r="A17" s="138" t="s">
        <v>164</v>
      </c>
      <c r="B17" s="136">
        <f t="shared" ref="B17:G17" si="3">10000+8000+7400</f>
        <v>25400</v>
      </c>
      <c r="C17" s="136">
        <f t="shared" si="3"/>
        <v>25400</v>
      </c>
      <c r="D17" s="136">
        <f t="shared" si="3"/>
        <v>25400</v>
      </c>
      <c r="E17" s="136">
        <f t="shared" si="3"/>
        <v>25400</v>
      </c>
      <c r="F17" s="136">
        <f t="shared" si="3"/>
        <v>25400</v>
      </c>
      <c r="G17" s="136">
        <f t="shared" si="3"/>
        <v>25400</v>
      </c>
      <c r="H17" s="136">
        <f>10000+8600+8000</f>
        <v>26600</v>
      </c>
      <c r="I17" s="136">
        <f t="shared" ref="I17:M17" si="4">10000+8600+8000</f>
        <v>26600</v>
      </c>
      <c r="J17" s="136">
        <f t="shared" si="4"/>
        <v>26600</v>
      </c>
      <c r="K17" s="136">
        <f t="shared" si="4"/>
        <v>26600</v>
      </c>
      <c r="L17" s="136">
        <f t="shared" si="4"/>
        <v>26600</v>
      </c>
      <c r="M17" s="136">
        <f t="shared" si="4"/>
        <v>26600</v>
      </c>
      <c r="N17" s="139">
        <f>SUM(B17:M17)</f>
        <v>312000</v>
      </c>
      <c r="O17" s="124"/>
      <c r="P17" s="25" t="s">
        <v>15</v>
      </c>
      <c r="Q17" s="124"/>
      <c r="R17" s="7"/>
    </row>
    <row r="18" spans="1:18" ht="15.5" customHeight="1" x14ac:dyDescent="0.2">
      <c r="A18" s="126" t="s">
        <v>165</v>
      </c>
      <c r="B18" s="127">
        <f t="shared" ref="B18:M18" si="5">SUM(B15:B17)</f>
        <v>88708.25</v>
      </c>
      <c r="C18" s="127">
        <f t="shared" si="5"/>
        <v>88708.25</v>
      </c>
      <c r="D18" s="127">
        <f t="shared" si="5"/>
        <v>93708.25</v>
      </c>
      <c r="E18" s="127">
        <f t="shared" si="5"/>
        <v>88708.25</v>
      </c>
      <c r="F18" s="127">
        <f t="shared" si="5"/>
        <v>88708.25</v>
      </c>
      <c r="G18" s="127">
        <f t="shared" si="5"/>
        <v>93708.25</v>
      </c>
      <c r="H18" s="127">
        <f t="shared" si="5"/>
        <v>94963.662500000006</v>
      </c>
      <c r="I18" s="127">
        <f t="shared" si="5"/>
        <v>94963.662500000006</v>
      </c>
      <c r="J18" s="127">
        <f t="shared" si="5"/>
        <v>99963.662500000006</v>
      </c>
      <c r="K18" s="127">
        <f t="shared" si="5"/>
        <v>94963.66</v>
      </c>
      <c r="L18" s="127">
        <f t="shared" si="5"/>
        <v>94963.66</v>
      </c>
      <c r="M18" s="127">
        <f t="shared" si="5"/>
        <v>99963.662500000006</v>
      </c>
      <c r="N18" s="127">
        <f>SUM(B18:M18)</f>
        <v>1122031.47</v>
      </c>
      <c r="O18" s="128"/>
      <c r="P18" s="140"/>
      <c r="Q18" s="124"/>
      <c r="R18" s="7"/>
    </row>
    <row r="19" spans="1:18" ht="15.5" customHeight="1" x14ac:dyDescent="0.2">
      <c r="A19" s="141"/>
      <c r="B19" s="142"/>
      <c r="C19" s="142"/>
      <c r="D19" s="142"/>
      <c r="E19" s="142"/>
      <c r="F19" s="142"/>
      <c r="G19" s="142"/>
      <c r="H19" s="142"/>
      <c r="I19" s="142"/>
      <c r="J19" s="142"/>
      <c r="K19" s="142"/>
      <c r="L19" s="142"/>
      <c r="M19" s="142"/>
      <c r="N19" s="143"/>
      <c r="O19" s="124"/>
      <c r="P19" s="124"/>
      <c r="Q19" s="124"/>
      <c r="R19" s="7"/>
    </row>
    <row r="20" spans="1:18" ht="15.5" customHeight="1" x14ac:dyDescent="0.2">
      <c r="A20" s="124"/>
      <c r="B20" s="124"/>
      <c r="C20" s="124"/>
      <c r="D20" s="124"/>
      <c r="E20" s="124"/>
      <c r="F20" s="124"/>
      <c r="G20" s="124"/>
      <c r="H20" s="124"/>
      <c r="I20" s="124"/>
      <c r="J20" s="124"/>
      <c r="K20" s="124"/>
      <c r="L20" s="124"/>
      <c r="M20" s="124"/>
      <c r="N20" s="124"/>
      <c r="O20" s="124"/>
      <c r="P20" s="10" t="s">
        <v>150</v>
      </c>
      <c r="Q20" s="144" t="s">
        <v>166</v>
      </c>
      <c r="R20" s="7"/>
    </row>
    <row r="21" spans="1:18" ht="12.75" customHeight="1" x14ac:dyDescent="0.2">
      <c r="A21" s="145"/>
      <c r="B21" s="134"/>
      <c r="C21" s="134"/>
      <c r="D21" s="134"/>
      <c r="E21" s="134"/>
      <c r="F21" s="134"/>
      <c r="G21" s="134"/>
      <c r="H21" s="134"/>
      <c r="I21" s="134"/>
      <c r="J21" s="134"/>
      <c r="K21" s="134"/>
      <c r="L21" s="134"/>
      <c r="M21" s="134"/>
      <c r="N21" s="89"/>
      <c r="O21" s="124"/>
      <c r="P21" s="133"/>
      <c r="Q21" s="263"/>
      <c r="R21" s="67" t="s">
        <v>168</v>
      </c>
    </row>
    <row r="22" spans="1:18" ht="12.75" customHeight="1" x14ac:dyDescent="0.2">
      <c r="A22" s="146" t="s">
        <v>169</v>
      </c>
      <c r="B22" s="147">
        <f t="shared" ref="B22:M22" si="6">$P22*$Q22</f>
        <v>6600</v>
      </c>
      <c r="C22" s="147">
        <f t="shared" si="6"/>
        <v>6600</v>
      </c>
      <c r="D22" s="147">
        <f t="shared" si="6"/>
        <v>6600</v>
      </c>
      <c r="E22" s="147">
        <f t="shared" si="6"/>
        <v>6600</v>
      </c>
      <c r="F22" s="147">
        <f t="shared" si="6"/>
        <v>6600</v>
      </c>
      <c r="G22" s="147">
        <f t="shared" si="6"/>
        <v>6600</v>
      </c>
      <c r="H22" s="147">
        <f t="shared" si="6"/>
        <v>6600</v>
      </c>
      <c r="I22" s="147">
        <f t="shared" si="6"/>
        <v>6600</v>
      </c>
      <c r="J22" s="147">
        <f t="shared" si="6"/>
        <v>6600</v>
      </c>
      <c r="K22" s="147">
        <f t="shared" si="6"/>
        <v>6600</v>
      </c>
      <c r="L22" s="147">
        <f t="shared" si="6"/>
        <v>6600</v>
      </c>
      <c r="M22" s="147">
        <f t="shared" si="6"/>
        <v>6600</v>
      </c>
      <c r="N22" s="147">
        <f t="shared" ref="N22:N25" si="7">SUM(B22:M22)</f>
        <v>79200</v>
      </c>
      <c r="O22" s="128"/>
      <c r="P22" s="123">
        <v>30</v>
      </c>
      <c r="Q22" s="264">
        <v>220</v>
      </c>
      <c r="R22" s="67" t="s">
        <v>168</v>
      </c>
    </row>
    <row r="23" spans="1:18" ht="12.75" customHeight="1" x14ac:dyDescent="0.2">
      <c r="A23" s="146" t="s">
        <v>170</v>
      </c>
      <c r="B23" s="147">
        <f t="shared" ref="B23:M23" si="8">-$P23*$Q23</f>
        <v>-2250</v>
      </c>
      <c r="C23" s="147">
        <f t="shared" si="8"/>
        <v>-2250</v>
      </c>
      <c r="D23" s="147">
        <f t="shared" si="8"/>
        <v>-2250</v>
      </c>
      <c r="E23" s="147">
        <f t="shared" si="8"/>
        <v>-2250</v>
      </c>
      <c r="F23" s="147">
        <f t="shared" si="8"/>
        <v>-2250</v>
      </c>
      <c r="G23" s="147">
        <f t="shared" si="8"/>
        <v>-2250</v>
      </c>
      <c r="H23" s="147">
        <f t="shared" si="8"/>
        <v>-2250</v>
      </c>
      <c r="I23" s="147">
        <f t="shared" si="8"/>
        <v>-2250</v>
      </c>
      <c r="J23" s="147">
        <f t="shared" si="8"/>
        <v>-2250</v>
      </c>
      <c r="K23" s="147">
        <f t="shared" si="8"/>
        <v>-2250</v>
      </c>
      <c r="L23" s="147">
        <f t="shared" si="8"/>
        <v>-2250</v>
      </c>
      <c r="M23" s="147">
        <f t="shared" si="8"/>
        <v>-2250</v>
      </c>
      <c r="N23" s="147">
        <f>SUM(B23:M23)</f>
        <v>-27000</v>
      </c>
      <c r="O23" s="128"/>
      <c r="P23" s="123">
        <v>22.5</v>
      </c>
      <c r="Q23" s="264">
        <v>100</v>
      </c>
      <c r="R23" s="67" t="s">
        <v>168</v>
      </c>
    </row>
    <row r="24" spans="1:18" ht="15.5" customHeight="1" x14ac:dyDescent="0.2">
      <c r="A24" s="148" t="s">
        <v>171</v>
      </c>
      <c r="B24" s="149">
        <f>B22+B23</f>
        <v>4350</v>
      </c>
      <c r="C24" s="149">
        <f t="shared" ref="C24:M24" si="9">C22+C23</f>
        <v>4350</v>
      </c>
      <c r="D24" s="149">
        <f t="shared" si="9"/>
        <v>4350</v>
      </c>
      <c r="E24" s="149">
        <f t="shared" si="9"/>
        <v>4350</v>
      </c>
      <c r="F24" s="149">
        <f t="shared" si="9"/>
        <v>4350</v>
      </c>
      <c r="G24" s="149">
        <f t="shared" si="9"/>
        <v>4350</v>
      </c>
      <c r="H24" s="149">
        <f t="shared" si="9"/>
        <v>4350</v>
      </c>
      <c r="I24" s="149">
        <f t="shared" si="9"/>
        <v>4350</v>
      </c>
      <c r="J24" s="149">
        <f t="shared" si="9"/>
        <v>4350</v>
      </c>
      <c r="K24" s="149">
        <f t="shared" si="9"/>
        <v>4350</v>
      </c>
      <c r="L24" s="149">
        <f t="shared" si="9"/>
        <v>4350</v>
      </c>
      <c r="M24" s="149">
        <f t="shared" si="9"/>
        <v>4350</v>
      </c>
      <c r="N24" s="150">
        <f t="shared" si="7"/>
        <v>52200</v>
      </c>
      <c r="O24" s="124"/>
      <c r="P24" s="140"/>
      <c r="Q24" s="124"/>
      <c r="R24" s="7"/>
    </row>
    <row r="25" spans="1:18" ht="15.5" customHeight="1" x14ac:dyDescent="0.2">
      <c r="A25" s="135" t="s">
        <v>172</v>
      </c>
      <c r="B25" s="136">
        <v>500</v>
      </c>
      <c r="C25" s="136">
        <v>500</v>
      </c>
      <c r="D25" s="136">
        <v>500</v>
      </c>
      <c r="E25" s="136">
        <v>500</v>
      </c>
      <c r="F25" s="136">
        <v>500</v>
      </c>
      <c r="G25" s="136">
        <v>500</v>
      </c>
      <c r="H25" s="136">
        <v>500</v>
      </c>
      <c r="I25" s="136">
        <v>500</v>
      </c>
      <c r="J25" s="136">
        <v>500</v>
      </c>
      <c r="K25" s="136">
        <v>500</v>
      </c>
      <c r="L25" s="136">
        <v>500</v>
      </c>
      <c r="M25" s="136">
        <v>500</v>
      </c>
      <c r="N25" s="137">
        <f t="shared" si="7"/>
        <v>6000</v>
      </c>
      <c r="O25" s="124"/>
      <c r="P25" s="25" t="s">
        <v>15</v>
      </c>
      <c r="Q25" s="124"/>
      <c r="R25" s="7"/>
    </row>
    <row r="26" spans="1:18" ht="15.5" customHeight="1" x14ac:dyDescent="0.2">
      <c r="A26" s="135" t="s">
        <v>173</v>
      </c>
      <c r="B26" s="136">
        <f t="shared" ref="B26:M26" si="10">0.05*(B21+B12)</f>
        <v>14055.478125000001</v>
      </c>
      <c r="C26" s="136">
        <f t="shared" si="10"/>
        <v>14077.196875000001</v>
      </c>
      <c r="D26" s="136">
        <f t="shared" si="10"/>
        <v>13839.1875</v>
      </c>
      <c r="E26" s="136">
        <f t="shared" si="10"/>
        <v>14025.571875000001</v>
      </c>
      <c r="F26" s="136">
        <f t="shared" si="10"/>
        <v>13816.35</v>
      </c>
      <c r="G26" s="136">
        <f t="shared" si="10"/>
        <v>13357.311666666668</v>
      </c>
      <c r="H26" s="136">
        <f t="shared" si="10"/>
        <v>14665.021875</v>
      </c>
      <c r="I26" s="136">
        <f t="shared" si="10"/>
        <v>13809.321250000003</v>
      </c>
      <c r="J26" s="136">
        <f t="shared" si="10"/>
        <v>14595.359375</v>
      </c>
      <c r="K26" s="136">
        <f t="shared" si="10"/>
        <v>14312.95</v>
      </c>
      <c r="L26" s="136">
        <f t="shared" si="10"/>
        <v>14613.834375</v>
      </c>
      <c r="M26" s="136">
        <f t="shared" si="10"/>
        <v>14467.375</v>
      </c>
      <c r="N26" s="137">
        <f>SUM(B26:M26)</f>
        <v>169634.9579166667</v>
      </c>
      <c r="O26" s="124"/>
      <c r="P26" s="25" t="s">
        <v>15</v>
      </c>
      <c r="Q26" s="124"/>
      <c r="R26" s="7"/>
    </row>
    <row r="27" spans="1:18" ht="15.5" customHeight="1" x14ac:dyDescent="0.2">
      <c r="A27" s="138" t="s">
        <v>174</v>
      </c>
      <c r="B27" s="136">
        <f>2*((18*184)+(3*184))</f>
        <v>7728</v>
      </c>
      <c r="C27" s="136">
        <f t="shared" ref="C27:M27" si="11">2*((18*184)+(3*184))</f>
        <v>7728</v>
      </c>
      <c r="D27" s="136">
        <f t="shared" si="11"/>
        <v>7728</v>
      </c>
      <c r="E27" s="136">
        <f t="shared" si="11"/>
        <v>7728</v>
      </c>
      <c r="F27" s="136">
        <f t="shared" si="11"/>
        <v>7728</v>
      </c>
      <c r="G27" s="136">
        <f t="shared" si="11"/>
        <v>7728</v>
      </c>
      <c r="H27" s="136">
        <f t="shared" si="11"/>
        <v>7728</v>
      </c>
      <c r="I27" s="136">
        <f t="shared" si="11"/>
        <v>7728</v>
      </c>
      <c r="J27" s="136">
        <f t="shared" si="11"/>
        <v>7728</v>
      </c>
      <c r="K27" s="136">
        <f t="shared" si="11"/>
        <v>7728</v>
      </c>
      <c r="L27" s="136">
        <f t="shared" si="11"/>
        <v>7728</v>
      </c>
      <c r="M27" s="136">
        <f t="shared" si="11"/>
        <v>7728</v>
      </c>
      <c r="N27" s="139">
        <f>SUM(B27:M27)</f>
        <v>92736</v>
      </c>
      <c r="O27" s="124"/>
      <c r="P27" s="25" t="s">
        <v>15</v>
      </c>
      <c r="Q27" s="124"/>
      <c r="R27" s="7"/>
    </row>
    <row r="28" spans="1:18" ht="15.5" customHeight="1" x14ac:dyDescent="0.2">
      <c r="A28" s="126" t="s">
        <v>175</v>
      </c>
      <c r="B28" s="127">
        <f>SUM(B24:B27)+B21</f>
        <v>26633.478125000001</v>
      </c>
      <c r="C28" s="127">
        <f t="shared" ref="C28:L28" si="12">SUM(C24:C27)+C21</f>
        <v>26655.196875000001</v>
      </c>
      <c r="D28" s="127">
        <f t="shared" si="12"/>
        <v>26417.1875</v>
      </c>
      <c r="E28" s="127">
        <f t="shared" si="12"/>
        <v>26603.571875000001</v>
      </c>
      <c r="F28" s="127">
        <f t="shared" si="12"/>
        <v>26394.35</v>
      </c>
      <c r="G28" s="127">
        <f t="shared" si="12"/>
        <v>25935.311666666668</v>
      </c>
      <c r="H28" s="127">
        <f t="shared" si="12"/>
        <v>27243.021874999999</v>
      </c>
      <c r="I28" s="127">
        <f t="shared" si="12"/>
        <v>26387.321250000001</v>
      </c>
      <c r="J28" s="127">
        <f t="shared" si="12"/>
        <v>27173.359375</v>
      </c>
      <c r="K28" s="127">
        <f t="shared" si="12"/>
        <v>26890.95</v>
      </c>
      <c r="L28" s="127">
        <f t="shared" si="12"/>
        <v>27191.834374999999</v>
      </c>
      <c r="M28" s="127">
        <f>SUM(M24:M27)+M21</f>
        <v>27045.375</v>
      </c>
      <c r="N28" s="127">
        <f>SUM(N24:N27)+N21</f>
        <v>320570.9579166667</v>
      </c>
      <c r="O28" s="128"/>
      <c r="P28" s="124"/>
      <c r="Q28" s="124"/>
      <c r="R28" s="7"/>
    </row>
    <row r="29" spans="1:18" ht="15.5" customHeight="1" x14ac:dyDescent="0.2">
      <c r="A29" s="120"/>
      <c r="B29" s="143"/>
      <c r="C29" s="143"/>
      <c r="D29" s="143"/>
      <c r="E29" s="143"/>
      <c r="F29" s="143"/>
      <c r="G29" s="143"/>
      <c r="H29" s="143"/>
      <c r="I29" s="143"/>
      <c r="J29" s="143"/>
      <c r="K29" s="143"/>
      <c r="L29" s="143"/>
      <c r="M29" s="143"/>
      <c r="N29" s="143"/>
      <c r="O29" s="124"/>
      <c r="P29" s="10" t="s">
        <v>150</v>
      </c>
      <c r="Q29" s="144" t="s">
        <v>166</v>
      </c>
      <c r="R29" s="7"/>
    </row>
    <row r="30" spans="1:18" ht="15.5" customHeight="1" x14ac:dyDescent="0.2">
      <c r="A30" s="349" t="s">
        <v>167</v>
      </c>
      <c r="B30" s="351">
        <f>Hours!D221*Calculators!P30</f>
        <v>35360</v>
      </c>
      <c r="C30" s="351">
        <f>Hours!E221*Calculators!P30</f>
        <v>35360</v>
      </c>
      <c r="D30" s="351">
        <f>Hours!F221*Calculators!P30</f>
        <v>35360</v>
      </c>
      <c r="E30" s="351">
        <f>Hours!G221*Calculators!P30</f>
        <v>35360</v>
      </c>
      <c r="F30" s="351">
        <f>Hours!H221*Calculators!P30</f>
        <v>35360</v>
      </c>
      <c r="G30" s="351">
        <f>Hours!I221*Calculators!P30</f>
        <v>35360</v>
      </c>
      <c r="H30" s="351">
        <f>Hours!J221*Calculators!P30</f>
        <v>35360</v>
      </c>
      <c r="I30" s="351">
        <f>Hours!K221*Calculators!P30</f>
        <v>35360</v>
      </c>
      <c r="J30" s="351">
        <f>Hours!L221*Calculators!P30</f>
        <v>35360</v>
      </c>
      <c r="K30" s="351">
        <f>Hours!M221*Calculators!P30</f>
        <v>35360</v>
      </c>
      <c r="L30" s="351">
        <f>Hours!N221*Calculators!P30</f>
        <v>35360</v>
      </c>
      <c r="M30" s="351">
        <f>Hours!O221*Calculators!P30</f>
        <v>35360</v>
      </c>
      <c r="N30" s="351">
        <f>SUM(B30:M30)</f>
        <v>424320</v>
      </c>
      <c r="O30" s="124"/>
      <c r="P30" s="350">
        <v>34</v>
      </c>
      <c r="Q30" s="125"/>
      <c r="R30" s="7"/>
    </row>
    <row r="31" spans="1:18" ht="15.5" customHeight="1" x14ac:dyDescent="0.2">
      <c r="A31" s="374" t="s">
        <v>429</v>
      </c>
      <c r="B31" s="351">
        <f>100*P31</f>
        <v>2900</v>
      </c>
      <c r="C31" s="351">
        <f>100*P31</f>
        <v>2900</v>
      </c>
      <c r="D31" s="351">
        <f>100*P31</f>
        <v>2900</v>
      </c>
      <c r="E31" s="351">
        <f>100*P31</f>
        <v>2900</v>
      </c>
      <c r="F31" s="351">
        <f>100*P31</f>
        <v>2900</v>
      </c>
      <c r="G31" s="351">
        <f>100*P31</f>
        <v>2900</v>
      </c>
      <c r="H31" s="351">
        <f>100*P31</f>
        <v>2900</v>
      </c>
      <c r="I31" s="351">
        <f>100*P31</f>
        <v>2900</v>
      </c>
      <c r="J31" s="351">
        <f>100*P31</f>
        <v>2900</v>
      </c>
      <c r="K31" s="351">
        <f>100*P31</f>
        <v>2900</v>
      </c>
      <c r="L31" s="351">
        <f>100*P31</f>
        <v>2900</v>
      </c>
      <c r="M31" s="351">
        <f>100*P31</f>
        <v>2900</v>
      </c>
      <c r="N31" s="351">
        <f>SUM(B31:M31)</f>
        <v>34800</v>
      </c>
      <c r="O31" s="375"/>
      <c r="P31" s="376">
        <v>29</v>
      </c>
      <c r="Q31" s="377"/>
      <c r="R31" s="43"/>
    </row>
    <row r="32" spans="1:18" ht="15.5" customHeight="1" x14ac:dyDescent="0.2">
      <c r="A32" s="126" t="s">
        <v>417</v>
      </c>
      <c r="B32" s="352">
        <f>SUM(B30:B31)</f>
        <v>38260</v>
      </c>
      <c r="C32" s="352">
        <f t="shared" ref="C32:M32" si="13">SUM(C30:C31)</f>
        <v>38260</v>
      </c>
      <c r="D32" s="352">
        <f t="shared" si="13"/>
        <v>38260</v>
      </c>
      <c r="E32" s="352">
        <f t="shared" si="13"/>
        <v>38260</v>
      </c>
      <c r="F32" s="352">
        <f t="shared" si="13"/>
        <v>38260</v>
      </c>
      <c r="G32" s="352">
        <f t="shared" si="13"/>
        <v>38260</v>
      </c>
      <c r="H32" s="352">
        <f t="shared" si="13"/>
        <v>38260</v>
      </c>
      <c r="I32" s="352">
        <f t="shared" si="13"/>
        <v>38260</v>
      </c>
      <c r="J32" s="352">
        <f t="shared" si="13"/>
        <v>38260</v>
      </c>
      <c r="K32" s="352">
        <f t="shared" si="13"/>
        <v>38260</v>
      </c>
      <c r="L32" s="352">
        <f t="shared" si="13"/>
        <v>38260</v>
      </c>
      <c r="M32" s="352">
        <f t="shared" si="13"/>
        <v>38260</v>
      </c>
      <c r="N32" s="352">
        <f>SUM(N30:N31)</f>
        <v>459120</v>
      </c>
      <c r="O32" s="364"/>
      <c r="P32" s="369"/>
      <c r="Q32" s="369"/>
      <c r="R32" s="43"/>
    </row>
    <row r="33" spans="1:18" s="355" customFormat="1" ht="15.5" customHeight="1" x14ac:dyDescent="0.2">
      <c r="A33" s="353"/>
      <c r="B33" s="354"/>
      <c r="C33" s="354"/>
      <c r="D33" s="354"/>
      <c r="E33" s="354"/>
      <c r="F33" s="354"/>
      <c r="G33" s="354"/>
      <c r="H33" s="354"/>
      <c r="I33" s="354"/>
      <c r="J33" s="354"/>
      <c r="K33" s="354"/>
      <c r="L33" s="354"/>
      <c r="M33" s="354"/>
      <c r="N33" s="354"/>
      <c r="O33" s="365"/>
      <c r="P33" s="370"/>
      <c r="Q33" s="370"/>
      <c r="R33" s="366"/>
    </row>
    <row r="34" spans="1:18" ht="15.5" customHeight="1" x14ac:dyDescent="0.2">
      <c r="A34" s="122" t="s">
        <v>419</v>
      </c>
      <c r="B34" s="136">
        <f>Hours!D190*Calculators!P34</f>
        <v>14570</v>
      </c>
      <c r="C34" s="136">
        <f>Hours!E190*Calculators!P34</f>
        <v>14570</v>
      </c>
      <c r="D34" s="136">
        <f>Hours!F190*Calculators!P34</f>
        <v>14570</v>
      </c>
      <c r="E34" s="136">
        <f>Hours!G190*Calculators!P34</f>
        <v>14570</v>
      </c>
      <c r="F34" s="136">
        <f>Hours!H190*Calculators!P34</f>
        <v>14570</v>
      </c>
      <c r="G34" s="136">
        <f>Hours!I190*Calculators!P34</f>
        <v>14570</v>
      </c>
      <c r="H34" s="136">
        <f>Hours!J190*Calculators!P34</f>
        <v>14570</v>
      </c>
      <c r="I34" s="136">
        <f>Hours!K190*Calculators!P34</f>
        <v>14570</v>
      </c>
      <c r="J34" s="136">
        <f>Hours!L190*Calculators!P34</f>
        <v>14570</v>
      </c>
      <c r="K34" s="136">
        <f>Hours!M190*Calculators!P34</f>
        <v>14570</v>
      </c>
      <c r="L34" s="136">
        <f>Hours!N190*Calculators!P34</f>
        <v>14570</v>
      </c>
      <c r="M34" s="136">
        <f>Hours!O190*Calculators!P34</f>
        <v>14570</v>
      </c>
      <c r="N34" s="87">
        <f t="shared" ref="N34:N43" si="14">SUM(B34:M34)</f>
        <v>174840</v>
      </c>
      <c r="O34" s="124"/>
      <c r="P34" s="367">
        <v>31</v>
      </c>
      <c r="Q34" s="368">
        <v>470</v>
      </c>
      <c r="R34" s="67" t="s">
        <v>21</v>
      </c>
    </row>
    <row r="35" spans="1:18" ht="15.5" customHeight="1" x14ac:dyDescent="0.2">
      <c r="A35" s="122" t="s">
        <v>420</v>
      </c>
      <c r="B35" s="136">
        <f>Hours!D191*Calculators!P35</f>
        <v>4080</v>
      </c>
      <c r="C35" s="136">
        <f>Hours!E191*Calculators!P35</f>
        <v>4080</v>
      </c>
      <c r="D35" s="136">
        <f>Hours!F191*Calculators!P35</f>
        <v>4080</v>
      </c>
      <c r="E35" s="136">
        <f>Hours!G191*Calculators!P35</f>
        <v>4080</v>
      </c>
      <c r="F35" s="136">
        <f>Hours!H191*Calculators!P35</f>
        <v>4080</v>
      </c>
      <c r="G35" s="136">
        <f>Hours!I191*Calculators!P35</f>
        <v>4080</v>
      </c>
      <c r="H35" s="136">
        <f>Hours!J191*Calculators!P35</f>
        <v>4080</v>
      </c>
      <c r="I35" s="136">
        <f>Hours!K191*Calculators!P35</f>
        <v>4080</v>
      </c>
      <c r="J35" s="136">
        <f>Hours!L191*Calculators!P35</f>
        <v>4080</v>
      </c>
      <c r="K35" s="136">
        <f>Hours!M191*Calculators!P35</f>
        <v>4080</v>
      </c>
      <c r="L35" s="136">
        <f>Hours!N191*Calculators!P35</f>
        <v>4080</v>
      </c>
      <c r="M35" s="136">
        <f>Hours!O191*Calculators!P35</f>
        <v>4080</v>
      </c>
      <c r="N35" s="87">
        <f t="shared" si="14"/>
        <v>48960</v>
      </c>
      <c r="O35" s="124"/>
      <c r="P35" s="362">
        <v>17</v>
      </c>
      <c r="Q35" s="356">
        <v>240</v>
      </c>
      <c r="R35" s="67" t="s">
        <v>21</v>
      </c>
    </row>
    <row r="36" spans="1:18" ht="15.5" customHeight="1" x14ac:dyDescent="0.2">
      <c r="A36" s="358" t="s">
        <v>421</v>
      </c>
      <c r="B36" s="136">
        <f>Hours!D198*Calculators!P36</f>
        <v>2559.1499999999996</v>
      </c>
      <c r="C36" s="136">
        <f>Hours!E198*Calculators!P36</f>
        <v>2559.1499999999996</v>
      </c>
      <c r="D36" s="136">
        <f>Hours!F198*Calculators!P36</f>
        <v>2559.1499999999996</v>
      </c>
      <c r="E36" s="136">
        <f>Hours!G198*Calculators!P36</f>
        <v>2559.1499999999996</v>
      </c>
      <c r="F36" s="136">
        <f>Hours!H198*Calculators!P36</f>
        <v>2559.1499999999996</v>
      </c>
      <c r="G36" s="136">
        <f>Hours!I198*Calculators!P36</f>
        <v>2559.1499999999996</v>
      </c>
      <c r="H36" s="136">
        <f>Hours!J198*Calculators!P36</f>
        <v>2559.1499999999996</v>
      </c>
      <c r="I36" s="136">
        <f>Hours!K198*Calculators!P36</f>
        <v>2559.1499999999996</v>
      </c>
      <c r="J36" s="136">
        <f>Hours!L198*Calculators!P36</f>
        <v>2559.1499999999996</v>
      </c>
      <c r="K36" s="136">
        <f>Hours!M198*Calculators!P36</f>
        <v>2559.1499999999996</v>
      </c>
      <c r="L36" s="136">
        <f>Hours!N198*Calculators!P36</f>
        <v>2559.1499999999996</v>
      </c>
      <c r="M36" s="136">
        <f>Hours!O198*Calculators!P36</f>
        <v>2559.1499999999996</v>
      </c>
      <c r="N36" s="360">
        <f t="shared" si="14"/>
        <v>30709.800000000003</v>
      </c>
      <c r="O36" s="124"/>
      <c r="P36" s="362">
        <v>21.15</v>
      </c>
      <c r="Q36" s="372">
        <v>121</v>
      </c>
      <c r="R36" s="67" t="s">
        <v>168</v>
      </c>
    </row>
    <row r="37" spans="1:18" ht="15.5" customHeight="1" x14ac:dyDescent="0.2">
      <c r="A37" s="361" t="s">
        <v>422</v>
      </c>
      <c r="B37" s="136">
        <f>Hours!D199*Calculators!P37</f>
        <v>2252.25</v>
      </c>
      <c r="C37" s="136">
        <f>Hours!E199*Calculators!P37</f>
        <v>2252.25</v>
      </c>
      <c r="D37" s="136">
        <f>Hours!F199*Calculators!P37</f>
        <v>2252.25</v>
      </c>
      <c r="E37" s="136">
        <f>Hours!G199*Calculators!P37</f>
        <v>2252.25</v>
      </c>
      <c r="F37" s="136">
        <f>Hours!H199*Calculators!P37</f>
        <v>2252.25</v>
      </c>
      <c r="G37" s="136">
        <f>Hours!I199*Calculators!P37</f>
        <v>2252.25</v>
      </c>
      <c r="H37" s="136">
        <f>Hours!J199*Calculators!P37</f>
        <v>2252.25</v>
      </c>
      <c r="I37" s="136">
        <f>Hours!K199*Calculators!P37</f>
        <v>2252.25</v>
      </c>
      <c r="J37" s="136">
        <f>Hours!L199*Calculators!P37</f>
        <v>2252.25</v>
      </c>
      <c r="K37" s="136">
        <f>Hours!M199*Calculators!P37</f>
        <v>2252.25</v>
      </c>
      <c r="L37" s="136">
        <f>Hours!N199*Calculators!P37</f>
        <v>2252.25</v>
      </c>
      <c r="M37" s="136">
        <f>Hours!O199*Calculators!P37</f>
        <v>2252.25</v>
      </c>
      <c r="N37" s="359">
        <f t="shared" si="14"/>
        <v>27027</v>
      </c>
      <c r="O37" s="124"/>
      <c r="P37" s="363">
        <v>22.75</v>
      </c>
      <c r="Q37" s="373">
        <v>99</v>
      </c>
      <c r="R37" s="67"/>
    </row>
    <row r="38" spans="1:18" ht="15.5" customHeight="1" x14ac:dyDescent="0.2">
      <c r="A38" s="361" t="s">
        <v>423</v>
      </c>
      <c r="B38" s="136">
        <f>Hours!D200*Calculators!P38</f>
        <v>3772.9999999999995</v>
      </c>
      <c r="C38" s="136">
        <f>Hours!E200*Calculators!P38</f>
        <v>3772.9999999999995</v>
      </c>
      <c r="D38" s="136">
        <f>Hours!F200*Calculators!P38</f>
        <v>3772.9999999999995</v>
      </c>
      <c r="E38" s="136">
        <f>Hours!G200*Calculators!P38</f>
        <v>3772.9999999999995</v>
      </c>
      <c r="F38" s="136">
        <f>Hours!H200*Calculators!P38</f>
        <v>3772.9999999999995</v>
      </c>
      <c r="G38" s="136">
        <f>Hours!I200*Calculators!P38</f>
        <v>3772.9999999999995</v>
      </c>
      <c r="H38" s="136">
        <f>Hours!J200*Calculators!P38</f>
        <v>3772.9999999999995</v>
      </c>
      <c r="I38" s="136">
        <f>Hours!K200*Calculators!P38</f>
        <v>3772.9999999999995</v>
      </c>
      <c r="J38" s="136">
        <f>Hours!L200*Calculators!P38</f>
        <v>3772.9999999999995</v>
      </c>
      <c r="K38" s="136">
        <f>Hours!M200*Calculators!P38</f>
        <v>3772.9999999999995</v>
      </c>
      <c r="L38" s="136">
        <f>Hours!N200*Calculators!P38</f>
        <v>3772.9999999999995</v>
      </c>
      <c r="M38" s="136">
        <f>Hours!O200*Calculators!P38</f>
        <v>3772.9999999999995</v>
      </c>
      <c r="N38" s="357">
        <f t="shared" si="14"/>
        <v>45275.999999999993</v>
      </c>
      <c r="O38" s="124"/>
      <c r="P38" s="363">
        <v>17.149999999999999</v>
      </c>
      <c r="Q38" s="373">
        <v>220</v>
      </c>
      <c r="R38" s="67"/>
    </row>
    <row r="39" spans="1:18" ht="15.5" customHeight="1" x14ac:dyDescent="0.2">
      <c r="A39" s="361" t="s">
        <v>424</v>
      </c>
      <c r="B39" s="136">
        <f>Hours!D194*Calculators!P39</f>
        <v>2600</v>
      </c>
      <c r="C39" s="136">
        <f>Hours!E194*Calculators!P39</f>
        <v>2600</v>
      </c>
      <c r="D39" s="136">
        <f>Hours!F194*Calculators!P39</f>
        <v>2600</v>
      </c>
      <c r="E39" s="136">
        <f>Hours!G194*Calculators!P39</f>
        <v>2600</v>
      </c>
      <c r="F39" s="136">
        <f>Hours!H194*Calculators!P39</f>
        <v>2600</v>
      </c>
      <c r="G39" s="136">
        <f>Hours!I194*Calculators!P39</f>
        <v>2600</v>
      </c>
      <c r="H39" s="136">
        <f>Hours!J194*Calculators!P39</f>
        <v>2600</v>
      </c>
      <c r="I39" s="136">
        <f>Hours!K194*Calculators!P39</f>
        <v>2600</v>
      </c>
      <c r="J39" s="136">
        <f>Hours!L194*Calculators!P39</f>
        <v>2600</v>
      </c>
      <c r="K39" s="136">
        <f>Hours!M194*Calculators!P39</f>
        <v>2600</v>
      </c>
      <c r="L39" s="136">
        <f>Hours!N194*Calculators!P39</f>
        <v>2600</v>
      </c>
      <c r="M39" s="136">
        <f>Hours!O194*Calculators!P39</f>
        <v>2600</v>
      </c>
      <c r="N39" s="357">
        <f t="shared" si="14"/>
        <v>31200</v>
      </c>
      <c r="O39" s="124"/>
      <c r="P39" s="371">
        <v>26</v>
      </c>
      <c r="Q39" s="373">
        <v>220</v>
      </c>
      <c r="R39" s="67"/>
    </row>
    <row r="40" spans="1:18" ht="15.5" customHeight="1" x14ac:dyDescent="0.2">
      <c r="A40" s="361" t="s">
        <v>465</v>
      </c>
      <c r="B40" s="136">
        <f>[1]Hours!C206*[1]Hours!D206</f>
        <v>19350</v>
      </c>
      <c r="C40" s="136">
        <f t="shared" ref="C40:D42" si="15">B40</f>
        <v>19350</v>
      </c>
      <c r="D40" s="136">
        <f t="shared" si="15"/>
        <v>19350</v>
      </c>
      <c r="E40" s="393">
        <v>19350</v>
      </c>
      <c r="F40" s="393">
        <v>19350</v>
      </c>
      <c r="G40" s="393">
        <v>19350</v>
      </c>
      <c r="H40" s="393">
        <v>19350</v>
      </c>
      <c r="I40" s="393">
        <v>19350</v>
      </c>
      <c r="J40" s="393">
        <v>19350</v>
      </c>
      <c r="K40" s="393">
        <v>19350</v>
      </c>
      <c r="L40" s="393">
        <v>19350</v>
      </c>
      <c r="M40" s="393">
        <v>19350</v>
      </c>
      <c r="N40" s="357">
        <f t="shared" si="14"/>
        <v>232200</v>
      </c>
      <c r="O40" s="124"/>
      <c r="P40" s="371">
        <v>28</v>
      </c>
      <c r="Q40" s="373">
        <v>240</v>
      </c>
      <c r="R40" s="67"/>
    </row>
    <row r="41" spans="1:18" ht="15.5" customHeight="1" x14ac:dyDescent="0.2">
      <c r="A41" s="361" t="s">
        <v>466</v>
      </c>
      <c r="B41" s="136">
        <f>[1]Hours!C207*[1]Hours!D207</f>
        <v>23400</v>
      </c>
      <c r="C41" s="136">
        <f t="shared" si="15"/>
        <v>23400</v>
      </c>
      <c r="D41" s="136">
        <f t="shared" si="15"/>
        <v>23400</v>
      </c>
      <c r="E41" s="393">
        <v>23400</v>
      </c>
      <c r="F41" s="393">
        <v>23400</v>
      </c>
      <c r="G41" s="393">
        <v>23400</v>
      </c>
      <c r="H41" s="393">
        <v>23400</v>
      </c>
      <c r="I41" s="393">
        <v>23400</v>
      </c>
      <c r="J41" s="393">
        <v>23400</v>
      </c>
      <c r="K41" s="393">
        <v>23400</v>
      </c>
      <c r="L41" s="393">
        <v>23400</v>
      </c>
      <c r="M41" s="393">
        <v>23400</v>
      </c>
      <c r="N41" s="357">
        <f t="shared" si="14"/>
        <v>280800</v>
      </c>
      <c r="O41" s="124"/>
      <c r="P41" s="371">
        <v>32</v>
      </c>
      <c r="Q41" s="7"/>
      <c r="R41" s="7"/>
    </row>
    <row r="42" spans="1:18" ht="15.5" customHeight="1" x14ac:dyDescent="0.2">
      <c r="A42" s="361" t="s">
        <v>467</v>
      </c>
      <c r="B42" s="136">
        <f>[1]Hours!C208*[1]Hours!D208</f>
        <v>15300</v>
      </c>
      <c r="C42" s="136">
        <f t="shared" si="15"/>
        <v>15300</v>
      </c>
      <c r="D42" s="136">
        <f t="shared" si="15"/>
        <v>15300</v>
      </c>
      <c r="E42" s="393">
        <v>15300</v>
      </c>
      <c r="F42" s="393">
        <v>15300</v>
      </c>
      <c r="G42" s="393">
        <v>15300</v>
      </c>
      <c r="H42" s="393">
        <v>15300</v>
      </c>
      <c r="I42" s="393">
        <v>15300</v>
      </c>
      <c r="J42" s="393">
        <v>15300</v>
      </c>
      <c r="K42" s="393">
        <v>15300</v>
      </c>
      <c r="L42" s="393">
        <v>15300</v>
      </c>
      <c r="M42" s="393">
        <v>15300</v>
      </c>
      <c r="N42" s="357">
        <f t="shared" si="14"/>
        <v>183600</v>
      </c>
      <c r="O42" s="124"/>
      <c r="P42" s="371">
        <v>18.5</v>
      </c>
      <c r="Q42" s="124"/>
      <c r="R42" s="7"/>
    </row>
    <row r="43" spans="1:18" ht="15.5" customHeight="1" x14ac:dyDescent="0.2">
      <c r="A43" s="361" t="s">
        <v>425</v>
      </c>
      <c r="B43" s="136">
        <f>Hours!D195*Calculators!P43</f>
        <v>857.49999999999989</v>
      </c>
      <c r="C43" s="136">
        <f>Hours!E195*Calculators!P43</f>
        <v>857.49999999999989</v>
      </c>
      <c r="D43" s="136">
        <f>Hours!F195*Calculators!P43</f>
        <v>857.49999999999989</v>
      </c>
      <c r="E43" s="136">
        <f>Hours!G195*Calculators!P43</f>
        <v>857.49999999999989</v>
      </c>
      <c r="F43" s="136">
        <f>Hours!H195*Calculators!P43</f>
        <v>857.49999999999989</v>
      </c>
      <c r="G43" s="136">
        <f>Hours!I195*Calculators!P43</f>
        <v>857.49999999999989</v>
      </c>
      <c r="H43" s="136">
        <f>Hours!J195*Calculators!P43</f>
        <v>857.49999999999989</v>
      </c>
      <c r="I43" s="136">
        <f>Hours!K195*Calculators!P43</f>
        <v>857.49999999999989</v>
      </c>
      <c r="J43" s="136">
        <f>Hours!L195*Calculators!P43</f>
        <v>857.49999999999989</v>
      </c>
      <c r="K43" s="136">
        <f>Hours!M195*Calculators!P43</f>
        <v>857.49999999999989</v>
      </c>
      <c r="L43" s="136">
        <f>Hours!N195*Calculators!P43</f>
        <v>857.49999999999989</v>
      </c>
      <c r="M43" s="136">
        <f>Hours!O195*Calculators!P43</f>
        <v>857.49999999999989</v>
      </c>
      <c r="N43" s="357">
        <f t="shared" si="14"/>
        <v>10289.999999999998</v>
      </c>
      <c r="O43" s="124"/>
      <c r="P43" s="363">
        <v>17.149999999999999</v>
      </c>
      <c r="Q43" s="124"/>
      <c r="R43" s="7"/>
    </row>
    <row r="44" spans="1:18" ht="15.5" customHeight="1" x14ac:dyDescent="0.2">
      <c r="A44" s="126" t="s">
        <v>418</v>
      </c>
      <c r="B44" s="127">
        <f t="shared" ref="B44:N44" si="16">SUM(B34:B43)</f>
        <v>88741.9</v>
      </c>
      <c r="C44" s="127">
        <f t="shared" si="16"/>
        <v>88741.9</v>
      </c>
      <c r="D44" s="127">
        <f t="shared" si="16"/>
        <v>88741.9</v>
      </c>
      <c r="E44" s="127">
        <f t="shared" si="16"/>
        <v>88741.9</v>
      </c>
      <c r="F44" s="127">
        <f t="shared" si="16"/>
        <v>88741.9</v>
      </c>
      <c r="G44" s="127">
        <f t="shared" si="16"/>
        <v>88741.9</v>
      </c>
      <c r="H44" s="127">
        <f t="shared" si="16"/>
        <v>88741.9</v>
      </c>
      <c r="I44" s="127">
        <f t="shared" si="16"/>
        <v>88741.9</v>
      </c>
      <c r="J44" s="127">
        <f t="shared" si="16"/>
        <v>88741.9</v>
      </c>
      <c r="K44" s="127">
        <f t="shared" si="16"/>
        <v>88741.9</v>
      </c>
      <c r="L44" s="127">
        <f t="shared" si="16"/>
        <v>88741.9</v>
      </c>
      <c r="M44" s="127">
        <f t="shared" si="16"/>
        <v>88741.9</v>
      </c>
      <c r="N44" s="127">
        <f t="shared" si="16"/>
        <v>1064902.8</v>
      </c>
      <c r="O44" s="124"/>
      <c r="P44" s="25" t="s">
        <v>15</v>
      </c>
      <c r="Q44" s="124"/>
      <c r="R44" s="7"/>
    </row>
    <row r="45" spans="1:18" s="252" customFormat="1" ht="15.5" customHeight="1" x14ac:dyDescent="0.2">
      <c r="A45" s="262"/>
      <c r="B45" s="262"/>
      <c r="C45" s="262"/>
      <c r="D45" s="262"/>
      <c r="E45" s="262"/>
      <c r="F45" s="262"/>
      <c r="G45" s="262"/>
      <c r="H45" s="262"/>
      <c r="I45" s="262"/>
      <c r="J45" s="262"/>
      <c r="K45" s="262"/>
      <c r="L45" s="262"/>
      <c r="M45" s="262"/>
      <c r="N45" s="262"/>
      <c r="O45" s="128"/>
      <c r="P45" s="124"/>
      <c r="Q45" s="250"/>
      <c r="R45" s="251"/>
    </row>
    <row r="46" spans="1:18" ht="15.5" customHeight="1" x14ac:dyDescent="0.2">
      <c r="A46" s="262"/>
      <c r="B46" s="262"/>
      <c r="C46" s="262"/>
      <c r="D46" s="262"/>
      <c r="E46" s="262"/>
      <c r="F46" s="262"/>
      <c r="G46" s="262"/>
      <c r="H46" s="262"/>
      <c r="I46" s="262"/>
      <c r="J46" s="262"/>
      <c r="K46" s="262"/>
      <c r="L46" s="262"/>
      <c r="M46" s="262"/>
      <c r="N46" s="262"/>
      <c r="O46" s="128"/>
      <c r="P46" s="124"/>
      <c r="Q46" s="124"/>
      <c r="R46" s="7"/>
    </row>
    <row r="47" spans="1:18" ht="15.5" customHeight="1" x14ac:dyDescent="0.2">
      <c r="A47" s="151" t="s">
        <v>312</v>
      </c>
      <c r="B47" s="137">
        <f t="shared" ref="B47:N47" si="17">B28+B18+B12+B44+B32</f>
        <v>523453.19062500005</v>
      </c>
      <c r="C47" s="137">
        <f t="shared" si="17"/>
        <v>523909.28437500005</v>
      </c>
      <c r="D47" s="137">
        <f t="shared" si="17"/>
        <v>523911.08750000002</v>
      </c>
      <c r="E47" s="137">
        <f t="shared" si="17"/>
        <v>522825.15937500005</v>
      </c>
      <c r="F47" s="137">
        <f t="shared" si="17"/>
        <v>518431.5</v>
      </c>
      <c r="G47" s="137">
        <f t="shared" si="17"/>
        <v>513791.69500000007</v>
      </c>
      <c r="H47" s="137">
        <f t="shared" si="17"/>
        <v>542509.02187499998</v>
      </c>
      <c r="I47" s="137">
        <f t="shared" si="17"/>
        <v>524539.30875000008</v>
      </c>
      <c r="J47" s="137">
        <f t="shared" si="17"/>
        <v>546046.109375</v>
      </c>
      <c r="K47" s="137">
        <f t="shared" si="17"/>
        <v>535115.51</v>
      </c>
      <c r="L47" s="137">
        <f t="shared" si="17"/>
        <v>541434.08187500003</v>
      </c>
      <c r="M47" s="137">
        <f t="shared" si="17"/>
        <v>543358.4375</v>
      </c>
      <c r="N47" s="267">
        <f t="shared" si="17"/>
        <v>6359324.3862499995</v>
      </c>
      <c r="O47" s="128"/>
      <c r="P47" s="259" t="s">
        <v>307</v>
      </c>
      <c r="Q47" s="124"/>
      <c r="R47" s="7"/>
    </row>
    <row r="48" spans="1:18" ht="15.5" customHeight="1" x14ac:dyDescent="0.2">
      <c r="A48" s="248"/>
      <c r="B48" s="248"/>
      <c r="C48" s="248"/>
      <c r="D48" s="248"/>
      <c r="E48" s="248"/>
      <c r="F48" s="248"/>
      <c r="G48" s="248"/>
      <c r="H48" s="248"/>
      <c r="I48" s="248"/>
      <c r="J48" s="248"/>
      <c r="K48" s="248"/>
      <c r="L48" s="248"/>
      <c r="M48" s="248"/>
      <c r="N48" s="248"/>
      <c r="O48" s="248"/>
      <c r="P48" s="249"/>
      <c r="Q48" s="67" t="s">
        <v>157</v>
      </c>
      <c r="R48" s="7"/>
    </row>
    <row r="49" spans="1:18" ht="15.5" customHeight="1" x14ac:dyDescent="0.2">
      <c r="A49" s="124"/>
      <c r="B49" s="124"/>
      <c r="C49" s="124"/>
      <c r="D49" s="124"/>
      <c r="E49" s="124"/>
      <c r="F49" s="124"/>
      <c r="G49" s="124"/>
      <c r="H49" s="124"/>
      <c r="I49" s="124"/>
      <c r="J49" s="124"/>
      <c r="K49" s="124"/>
      <c r="L49" s="124"/>
      <c r="M49" s="124"/>
      <c r="N49" s="124"/>
      <c r="O49" s="124"/>
      <c r="P49" s="124"/>
      <c r="Q49" s="67" t="s">
        <v>157</v>
      </c>
      <c r="R49" s="7"/>
    </row>
    <row r="50" spans="1:18" ht="15.5" customHeight="1" x14ac:dyDescent="0.2">
      <c r="A50" s="199" t="s">
        <v>181</v>
      </c>
      <c r="B50" s="131"/>
      <c r="C50" s="131"/>
      <c r="D50" s="131"/>
      <c r="E50" s="131"/>
      <c r="F50" s="131"/>
      <c r="G50" s="131"/>
      <c r="H50" s="131"/>
      <c r="I50" s="131"/>
      <c r="J50" s="131"/>
      <c r="K50" s="131"/>
      <c r="L50" s="131"/>
      <c r="M50" s="131"/>
      <c r="N50" s="131"/>
      <c r="O50" s="124"/>
      <c r="P50" s="10" t="s">
        <v>155</v>
      </c>
      <c r="Q50" s="67" t="s">
        <v>157</v>
      </c>
      <c r="R50" s="7"/>
    </row>
    <row r="51" spans="1:18" ht="15.5" customHeight="1" x14ac:dyDescent="0.2">
      <c r="A51" s="256" t="s">
        <v>156</v>
      </c>
      <c r="B51" s="123">
        <f>Hours!D181*$P51</f>
        <v>3750</v>
      </c>
      <c r="C51" s="123">
        <f>Hours!E181*$P51</f>
        <v>3750</v>
      </c>
      <c r="D51" s="123">
        <f>Hours!F181*$P51</f>
        <v>3750</v>
      </c>
      <c r="E51" s="123">
        <f>Hours!G181*$P51</f>
        <v>3750</v>
      </c>
      <c r="F51" s="123">
        <f>Hours!H181*$P51</f>
        <v>3750</v>
      </c>
      <c r="G51" s="123">
        <f>Hours!I181*$P51</f>
        <v>3750</v>
      </c>
      <c r="H51" s="123">
        <f>Hours!J181*$P51</f>
        <v>3750</v>
      </c>
      <c r="I51" s="123">
        <f>Hours!K181*$P51</f>
        <v>3750</v>
      </c>
      <c r="J51" s="123">
        <f>Hours!L181*$P51</f>
        <v>3750</v>
      </c>
      <c r="K51" s="123">
        <f>Hours!M181*$P51</f>
        <v>3750</v>
      </c>
      <c r="L51" s="123">
        <f>Hours!N181*$P51</f>
        <v>3750</v>
      </c>
      <c r="M51" s="123">
        <f>Hours!O181*$P51</f>
        <v>3750</v>
      </c>
      <c r="N51" s="87">
        <f>SUM(B51:M51)</f>
        <v>45000</v>
      </c>
      <c r="O51" s="124"/>
      <c r="P51" s="386">
        <v>3750</v>
      </c>
      <c r="Q51" s="67" t="s">
        <v>157</v>
      </c>
      <c r="R51" s="7"/>
    </row>
    <row r="52" spans="1:18" ht="15.5" customHeight="1" x14ac:dyDescent="0.2">
      <c r="A52" s="256" t="s">
        <v>158</v>
      </c>
      <c r="B52" s="123">
        <f>Hours!D182*$P52</f>
        <v>9500</v>
      </c>
      <c r="C52" s="123">
        <f>Hours!E182*$P52</f>
        <v>9500</v>
      </c>
      <c r="D52" s="123">
        <f>Hours!F182*$P52</f>
        <v>9500</v>
      </c>
      <c r="E52" s="123">
        <f>Hours!G182*$P52</f>
        <v>9500</v>
      </c>
      <c r="F52" s="123">
        <f>Hours!H182*$P52</f>
        <v>9500</v>
      </c>
      <c r="G52" s="123">
        <f>Hours!I182*$P52</f>
        <v>9500</v>
      </c>
      <c r="H52" s="123">
        <f>Hours!J182*$P52</f>
        <v>9500</v>
      </c>
      <c r="I52" s="123">
        <f>Hours!K182*$P52</f>
        <v>9500</v>
      </c>
      <c r="J52" s="123">
        <f>Hours!L182*$P52</f>
        <v>9500</v>
      </c>
      <c r="K52" s="123">
        <f>Hours!M182*$P52</f>
        <v>9500</v>
      </c>
      <c r="L52" s="123">
        <f>Hours!N182*$P52</f>
        <v>9500</v>
      </c>
      <c r="M52" s="123">
        <f>Hours!O182*$P52</f>
        <v>9500</v>
      </c>
      <c r="N52" s="87">
        <f>SUM(B52:M52)</f>
        <v>114000</v>
      </c>
      <c r="O52" s="124"/>
      <c r="P52" s="387">
        <v>4750</v>
      </c>
      <c r="Q52" s="124"/>
      <c r="R52" s="7"/>
    </row>
    <row r="53" spans="1:18" ht="15.5" customHeight="1" x14ac:dyDescent="0.2">
      <c r="A53" s="256" t="s">
        <v>159</v>
      </c>
      <c r="B53" s="123">
        <f>Hours!D183*$P53</f>
        <v>6250</v>
      </c>
      <c r="C53" s="123">
        <f>Hours!E183*$P53</f>
        <v>6250</v>
      </c>
      <c r="D53" s="123">
        <f>Hours!F183*$P53</f>
        <v>6250</v>
      </c>
      <c r="E53" s="123">
        <f>Hours!G183*$P53</f>
        <v>6250</v>
      </c>
      <c r="F53" s="123">
        <f>Hours!H183*$P53</f>
        <v>6250</v>
      </c>
      <c r="G53" s="123">
        <f>Hours!I183*$P53</f>
        <v>6250</v>
      </c>
      <c r="H53" s="123">
        <f>Hours!J183*$P53</f>
        <v>6250</v>
      </c>
      <c r="I53" s="123">
        <f>Hours!K183*$P53</f>
        <v>6250</v>
      </c>
      <c r="J53" s="123">
        <f>Hours!L183*$P53</f>
        <v>6250</v>
      </c>
      <c r="K53" s="123">
        <f>Hours!M183*$P53</f>
        <v>6250</v>
      </c>
      <c r="L53" s="123">
        <f>Hours!N183*$P53</f>
        <v>6250</v>
      </c>
      <c r="M53" s="123">
        <f>Hours!O183*$P53</f>
        <v>6250</v>
      </c>
      <c r="N53" s="87">
        <f>SUM(B53:M53)</f>
        <v>75000</v>
      </c>
      <c r="O53" s="124"/>
      <c r="P53" s="387">
        <v>6250</v>
      </c>
      <c r="Q53" s="124"/>
      <c r="R53" s="7"/>
    </row>
    <row r="54" spans="1:18" ht="15.5" customHeight="1" x14ac:dyDescent="0.2">
      <c r="A54" s="257" t="s">
        <v>160</v>
      </c>
      <c r="B54" s="255">
        <f>Hours!D184*$P54</f>
        <v>15000</v>
      </c>
      <c r="C54" s="255">
        <f>Hours!E184*$P54</f>
        <v>15000</v>
      </c>
      <c r="D54" s="255">
        <f>Hours!F184*$P54</f>
        <v>15000</v>
      </c>
      <c r="E54" s="255">
        <f>Hours!G184*$P54</f>
        <v>15000</v>
      </c>
      <c r="F54" s="255">
        <f>Hours!H184*$P54</f>
        <v>15000</v>
      </c>
      <c r="G54" s="255">
        <f>Hours!I184*$P54</f>
        <v>15000</v>
      </c>
      <c r="H54" s="255">
        <f>Hours!J184*$P54</f>
        <v>15000</v>
      </c>
      <c r="I54" s="255">
        <f>Hours!K184*$P54</f>
        <v>15000</v>
      </c>
      <c r="J54" s="255">
        <f>Hours!L184*$P54</f>
        <v>15000</v>
      </c>
      <c r="K54" s="255">
        <f>Hours!M184*$P54</f>
        <v>15000</v>
      </c>
      <c r="L54" s="255">
        <f>Hours!N184*$P54</f>
        <v>15000</v>
      </c>
      <c r="M54" s="255">
        <f>Hours!O184*$P54</f>
        <v>15000</v>
      </c>
      <c r="N54" s="89">
        <f>SUM(B54:M54)</f>
        <v>180000</v>
      </c>
      <c r="O54" s="124"/>
      <c r="P54" s="387">
        <v>7500</v>
      </c>
      <c r="Q54" s="124"/>
      <c r="R54" s="7"/>
    </row>
    <row r="55" spans="1:18" ht="15.5" customHeight="1" x14ac:dyDescent="0.2">
      <c r="A55" s="151" t="s">
        <v>161</v>
      </c>
      <c r="B55" s="137">
        <f t="shared" ref="B55:N55" si="18">SUM(B51:B54)</f>
        <v>34500</v>
      </c>
      <c r="C55" s="137">
        <f t="shared" si="18"/>
        <v>34500</v>
      </c>
      <c r="D55" s="137">
        <f>SUM(D51:D54)+6750</f>
        <v>41250</v>
      </c>
      <c r="E55" s="137">
        <f t="shared" si="18"/>
        <v>34500</v>
      </c>
      <c r="F55" s="137">
        <f t="shared" si="18"/>
        <v>34500</v>
      </c>
      <c r="G55" s="137">
        <f>SUM(G51:G54)+6750</f>
        <v>41250</v>
      </c>
      <c r="H55" s="137">
        <f t="shared" si="18"/>
        <v>34500</v>
      </c>
      <c r="I55" s="137">
        <f t="shared" si="18"/>
        <v>34500</v>
      </c>
      <c r="J55" s="137">
        <f>SUM(J51:J54)+6750</f>
        <v>41250</v>
      </c>
      <c r="K55" s="137">
        <f t="shared" si="18"/>
        <v>34500</v>
      </c>
      <c r="L55" s="137">
        <f t="shared" si="18"/>
        <v>34500</v>
      </c>
      <c r="M55" s="137">
        <f>SUM(M51:M54)+6750</f>
        <v>41250</v>
      </c>
      <c r="N55" s="268">
        <f t="shared" si="18"/>
        <v>414000</v>
      </c>
      <c r="O55" s="128"/>
      <c r="P55" s="259" t="s">
        <v>308</v>
      </c>
      <c r="Q55" s="124"/>
      <c r="R55" s="7"/>
    </row>
    <row r="56" spans="1:18" ht="15.5" customHeight="1" x14ac:dyDescent="0.2">
      <c r="A56" s="124"/>
      <c r="B56" s="124"/>
      <c r="C56" s="124"/>
      <c r="D56" s="124"/>
      <c r="E56" s="124"/>
      <c r="F56" s="124"/>
      <c r="G56" s="124"/>
      <c r="H56" s="124"/>
      <c r="I56" s="124"/>
      <c r="J56" s="124"/>
      <c r="K56" s="124"/>
      <c r="L56" s="124"/>
      <c r="M56" s="124"/>
      <c r="N56" s="124"/>
      <c r="O56" s="124"/>
      <c r="P56" s="124"/>
      <c r="Q56" s="124"/>
      <c r="R56" s="7"/>
    </row>
    <row r="57" spans="1:18" ht="15.5" customHeight="1" x14ac:dyDescent="0.2">
      <c r="A57" s="128"/>
      <c r="B57" s="128"/>
      <c r="C57" s="124"/>
      <c r="D57" s="124"/>
      <c r="E57" s="124"/>
      <c r="F57" s="124"/>
      <c r="G57" s="124"/>
      <c r="H57" s="124"/>
      <c r="I57" s="124"/>
      <c r="J57" s="124"/>
      <c r="K57" s="124"/>
      <c r="L57" s="124"/>
      <c r="M57" s="124"/>
      <c r="N57" s="124"/>
      <c r="O57" s="124"/>
      <c r="P57" s="124"/>
      <c r="Q57" s="124"/>
      <c r="R57" s="7"/>
    </row>
    <row r="58" spans="1:18" ht="15.5" customHeight="1" x14ac:dyDescent="0.2">
      <c r="A58" s="116" t="s">
        <v>426</v>
      </c>
      <c r="B58" s="258">
        <f>+B55+B47+B32+B44</f>
        <v>684955.09062500007</v>
      </c>
      <c r="C58" s="258">
        <f>+C55+C47+C32+C44</f>
        <v>685411.18437500007</v>
      </c>
      <c r="D58" s="258">
        <f>+D55+D47+D32+D44+6750</f>
        <v>698912.98750000005</v>
      </c>
      <c r="E58" s="258">
        <f>+E55+E47+E32+E44</f>
        <v>684327.05937500007</v>
      </c>
      <c r="F58" s="258">
        <f>+F55+F47+F32+F44</f>
        <v>679933.4</v>
      </c>
      <c r="G58" s="258">
        <f>+G55+G47+G32+G44+6750</f>
        <v>688793.59500000009</v>
      </c>
      <c r="H58" s="258">
        <f>+H55+H47+H32+H44</f>
        <v>704010.921875</v>
      </c>
      <c r="I58" s="258">
        <f>+I55+I47+I32+I44</f>
        <v>686041.20875000011</v>
      </c>
      <c r="J58" s="258">
        <f>+J55+J47+J32+J44+6750</f>
        <v>721048.00937500002</v>
      </c>
      <c r="K58" s="258">
        <f>+K55+K47+K32+K44</f>
        <v>696617.41</v>
      </c>
      <c r="L58" s="258">
        <f>+L55+L47+L32+L44</f>
        <v>702935.98187500006</v>
      </c>
      <c r="M58" s="258">
        <f>+M55+M47+M32+M44+6750</f>
        <v>718360.33750000002</v>
      </c>
      <c r="N58" s="258">
        <f>SUM(B58:M58)</f>
        <v>8351347.1862500012</v>
      </c>
      <c r="O58" s="124"/>
      <c r="P58" s="259" t="s">
        <v>309</v>
      </c>
      <c r="Q58" s="124"/>
      <c r="R58" s="7"/>
    </row>
    <row r="59" spans="1:18" ht="15.5" customHeight="1" x14ac:dyDescent="0.2">
      <c r="A59" s="128"/>
      <c r="B59" s="128"/>
      <c r="C59" s="124"/>
      <c r="D59" s="124"/>
      <c r="E59" s="124"/>
      <c r="F59" s="124"/>
      <c r="G59" s="124"/>
      <c r="H59" s="124"/>
      <c r="I59" s="124"/>
      <c r="J59" s="124"/>
      <c r="K59" s="124"/>
      <c r="L59" s="124"/>
      <c r="M59" s="124"/>
      <c r="N59" s="124"/>
      <c r="O59" s="124"/>
      <c r="P59" s="124"/>
      <c r="Q59" s="124"/>
      <c r="R59" s="7"/>
    </row>
    <row r="60" spans="1:18" ht="15.5" customHeight="1" x14ac:dyDescent="0.2">
      <c r="A60" s="128"/>
      <c r="B60" s="128"/>
      <c r="C60" s="124"/>
      <c r="D60" s="124"/>
      <c r="E60" s="124"/>
      <c r="F60" s="124"/>
      <c r="G60" s="124"/>
      <c r="H60" s="124"/>
      <c r="I60" s="124"/>
      <c r="J60" s="124"/>
      <c r="K60" s="124"/>
      <c r="L60" s="124"/>
      <c r="M60" s="124"/>
      <c r="N60" s="124"/>
      <c r="O60" s="124"/>
      <c r="P60" s="124"/>
      <c r="Q60" s="124"/>
      <c r="R60" s="7"/>
    </row>
    <row r="61" spans="1:18" ht="15.5" customHeight="1" x14ac:dyDescent="0.2">
      <c r="A61" s="128"/>
      <c r="B61" s="128"/>
      <c r="C61" s="124"/>
      <c r="D61" s="124"/>
      <c r="E61" s="124"/>
      <c r="F61" s="124"/>
      <c r="G61" s="124"/>
      <c r="H61" s="124"/>
      <c r="I61" s="124"/>
      <c r="J61" s="124"/>
      <c r="K61" s="124"/>
      <c r="L61" s="124"/>
      <c r="M61" s="124"/>
      <c r="N61" s="124"/>
      <c r="O61" s="124"/>
      <c r="P61" s="124"/>
      <c r="Q61" s="124"/>
      <c r="R61" s="7"/>
    </row>
    <row r="62" spans="1:18" ht="15.5" customHeight="1" x14ac:dyDescent="0.2">
      <c r="A62" s="128"/>
      <c r="B62" s="128"/>
      <c r="C62" s="124"/>
      <c r="D62" s="124"/>
      <c r="E62" s="124"/>
      <c r="F62" s="124"/>
      <c r="G62" s="124"/>
      <c r="H62" s="124"/>
      <c r="I62" s="124"/>
      <c r="J62" s="124"/>
      <c r="K62" s="124"/>
      <c r="L62" s="124"/>
      <c r="M62" s="124"/>
      <c r="N62" s="124"/>
      <c r="O62" s="124"/>
      <c r="P62" s="124"/>
      <c r="Q62" s="124"/>
      <c r="R62" s="7"/>
    </row>
    <row r="63" spans="1:18" ht="15.5" customHeight="1" x14ac:dyDescent="0.2">
      <c r="A63" s="266" t="s">
        <v>176</v>
      </c>
      <c r="B63" s="128"/>
      <c r="C63" s="124"/>
      <c r="D63" s="124"/>
      <c r="E63" s="124"/>
      <c r="F63" s="124"/>
      <c r="G63" s="124"/>
      <c r="H63" s="124"/>
      <c r="I63" s="124"/>
      <c r="J63" s="124"/>
      <c r="K63" s="124"/>
      <c r="L63" s="124"/>
      <c r="M63" s="124"/>
      <c r="N63" s="124"/>
      <c r="O63" s="124"/>
      <c r="P63" s="124"/>
      <c r="Q63" s="67" t="s">
        <v>21</v>
      </c>
      <c r="R63" s="7"/>
    </row>
    <row r="64" spans="1:18" ht="15.5" customHeight="1" x14ac:dyDescent="0.2">
      <c r="A64" s="143"/>
      <c r="B64" s="124"/>
      <c r="C64" s="124"/>
      <c r="D64" s="124"/>
      <c r="E64" s="124"/>
      <c r="F64" s="124"/>
      <c r="G64" s="124"/>
      <c r="H64" s="124"/>
      <c r="I64" s="124"/>
      <c r="J64" s="124"/>
      <c r="K64" s="124"/>
      <c r="L64" s="124"/>
      <c r="M64" s="124"/>
      <c r="N64" s="124"/>
      <c r="O64" s="124"/>
      <c r="P64" s="124"/>
      <c r="Q64" s="155" t="s">
        <v>178</v>
      </c>
      <c r="R64" s="7"/>
    </row>
    <row r="65" spans="1:18" ht="15.5" customHeight="1" x14ac:dyDescent="0.2">
      <c r="A65" s="122" t="s">
        <v>177</v>
      </c>
      <c r="B65" s="124"/>
      <c r="C65" s="124"/>
      <c r="D65" s="124"/>
      <c r="E65" s="124"/>
      <c r="F65" s="124"/>
      <c r="G65" s="124"/>
      <c r="H65" s="124"/>
      <c r="I65" s="124"/>
      <c r="J65" s="124"/>
      <c r="K65" s="124"/>
      <c r="L65" s="124"/>
      <c r="M65" s="124"/>
      <c r="N65" s="124"/>
      <c r="O65" s="124"/>
      <c r="P65" s="10" t="s">
        <v>150</v>
      </c>
      <c r="Q65" s="67" t="s">
        <v>21</v>
      </c>
      <c r="R65" s="7"/>
    </row>
    <row r="66" spans="1:18" ht="15.5" customHeight="1" x14ac:dyDescent="0.2">
      <c r="A66" s="122" t="s">
        <v>163</v>
      </c>
      <c r="B66" s="123">
        <f>Hours!D171*$P66</f>
        <v>0</v>
      </c>
      <c r="C66" s="123">
        <f>Hours!E171*$P66</f>
        <v>0</v>
      </c>
      <c r="D66" s="123">
        <f>Hours!F171*$P66</f>
        <v>0</v>
      </c>
      <c r="E66" s="123">
        <f>Hours!G171*$P66</f>
        <v>0</v>
      </c>
      <c r="F66" s="123">
        <f>Hours!H171*$P66</f>
        <v>0</v>
      </c>
      <c r="G66" s="123">
        <f>Hours!I171*$P66</f>
        <v>0</v>
      </c>
      <c r="H66" s="123">
        <f>Hours!J171*$P66</f>
        <v>0</v>
      </c>
      <c r="I66" s="123">
        <f>Hours!K171*$P66</f>
        <v>0</v>
      </c>
      <c r="J66" s="123">
        <f>Hours!L171*$P66</f>
        <v>0</v>
      </c>
      <c r="K66" s="123">
        <f>Hours!M171*$P66</f>
        <v>0</v>
      </c>
      <c r="L66" s="123">
        <f>Hours!N171*$P66</f>
        <v>0</v>
      </c>
      <c r="M66" s="123">
        <f>Hours!O171*$P66</f>
        <v>0</v>
      </c>
      <c r="N66" s="87">
        <f t="shared" ref="N66:N71" si="19">SUM(B66:M66)</f>
        <v>0</v>
      </c>
      <c r="O66" s="124"/>
      <c r="P66" s="133">
        <v>0</v>
      </c>
      <c r="Q66" s="67" t="s">
        <v>21</v>
      </c>
      <c r="R66" s="7"/>
    </row>
    <row r="67" spans="1:18" ht="15.5" customHeight="1" x14ac:dyDescent="0.2">
      <c r="A67" s="132" t="s">
        <v>456</v>
      </c>
      <c r="B67" s="123">
        <f>4.54*(Hours!D168+Hours!D169+Hours!D170)</f>
        <v>61325.184999999998</v>
      </c>
      <c r="C67" s="123">
        <f>4.54*(Hours!E168+Hours!E169+Hours!E170)</f>
        <v>61409.175000000003</v>
      </c>
      <c r="D67" s="123">
        <f>4.54*(Hours!F168+Hours!F169+Hours!F170)</f>
        <v>60332.06</v>
      </c>
      <c r="E67" s="123">
        <f>4.54*(Hours!G168+Hours!G169+Hours!G170)</f>
        <v>61200.334999999999</v>
      </c>
      <c r="F67" s="123">
        <f>4.54*(Hours!H168+Hours!H169+Hours!H170)</f>
        <v>60236.72</v>
      </c>
      <c r="G67" s="123">
        <f>4.54*(Hours!I168+Hours!I169+Hours!I170)</f>
        <v>58303.890666666666</v>
      </c>
      <c r="H67" s="123">
        <f>4.54*(Hours!J168+Hours!J169+Hours!J170)</f>
        <v>61695.195</v>
      </c>
      <c r="I67" s="123">
        <f>4.54*(Hours!K168+Hours!K169+Hours!K170)</f>
        <v>58063.724666666676</v>
      </c>
      <c r="J67" s="123">
        <f>4.54*(Hours!L168+Hours!L169+Hours!L170)</f>
        <v>61409.175000000003</v>
      </c>
      <c r="K67" s="123">
        <f>4.54*(Hours!M168+Hours!M169+Hours!M170)</f>
        <v>60182.239999999998</v>
      </c>
      <c r="L67" s="123">
        <f>4.54*(Hours!N168+Hours!N169+Hours!N170)</f>
        <v>61490.895000000004</v>
      </c>
      <c r="M67" s="123">
        <f>4.54*(Hours!O168+Hours!O169+Hours!O170)</f>
        <v>60790.6</v>
      </c>
      <c r="N67" s="87">
        <f t="shared" si="19"/>
        <v>726439.19533333334</v>
      </c>
      <c r="O67" s="124"/>
      <c r="P67" s="154">
        <v>0</v>
      </c>
      <c r="Q67" s="67" t="s">
        <v>21</v>
      </c>
      <c r="R67" s="7"/>
    </row>
    <row r="68" spans="1:18" ht="15.5" customHeight="1" x14ac:dyDescent="0.2">
      <c r="A68" s="122" t="s">
        <v>179</v>
      </c>
      <c r="B68" s="123">
        <f>Hours!D168*$P68</f>
        <v>392769.75</v>
      </c>
      <c r="C68" s="123">
        <f>Hours!E168*$P68</f>
        <v>393856.25</v>
      </c>
      <c r="D68" s="123">
        <f>Hours!F168*$P68</f>
        <v>389582</v>
      </c>
      <c r="E68" s="123">
        <f>Hours!G168*$P68</f>
        <v>391642.25</v>
      </c>
      <c r="F68" s="123">
        <f>Hours!H168*$P68</f>
        <v>388721</v>
      </c>
      <c r="G68" s="123">
        <f>Hours!I168*$P68</f>
        <v>373059</v>
      </c>
      <c r="H68" s="123">
        <f>Hours!J168*$P68</f>
        <v>396111.25</v>
      </c>
      <c r="I68" s="123">
        <f>Hours!K168*$P68</f>
        <v>374536.3666666667</v>
      </c>
      <c r="J68" s="123">
        <f>Hours!L168*$P68</f>
        <v>393856.25</v>
      </c>
      <c r="K68" s="123">
        <f>Hours!M168*$P68</f>
        <v>388229</v>
      </c>
      <c r="L68" s="123">
        <f>Hours!N168*$P68</f>
        <v>394266.25</v>
      </c>
      <c r="M68" s="123">
        <f>Hours!O168*$P68</f>
        <v>394051</v>
      </c>
      <c r="N68" s="87">
        <f t="shared" si="19"/>
        <v>4670680.3666666672</v>
      </c>
      <c r="O68" s="124"/>
      <c r="P68" s="123">
        <v>41</v>
      </c>
      <c r="Q68" s="124"/>
      <c r="R68" s="7"/>
    </row>
    <row r="69" spans="1:18" ht="15.5" customHeight="1" x14ac:dyDescent="0.2">
      <c r="A69" s="122" t="s">
        <v>152</v>
      </c>
      <c r="B69" s="123">
        <f>Hours!D169*$P69</f>
        <v>130011</v>
      </c>
      <c r="C69" s="123">
        <f>Hours!E169*$P69</f>
        <v>129683</v>
      </c>
      <c r="D69" s="123">
        <f>Hours!F169*$P69</f>
        <v>125583</v>
      </c>
      <c r="E69" s="123">
        <f>Hours!G169*$P69</f>
        <v>130011</v>
      </c>
      <c r="F69" s="123">
        <f>Hours!H169*$P69</f>
        <v>125583</v>
      </c>
      <c r="G69" s="123">
        <f>Hours!I169*$P69</f>
        <v>124773.93333333335</v>
      </c>
      <c r="H69" s="123">
        <f>Hours!J169*$P69</f>
        <v>130011</v>
      </c>
      <c r="I69" s="123">
        <f>Hours!K169*$P69</f>
        <v>121127.66666666669</v>
      </c>
      <c r="J69" s="123">
        <f>Hours!L169*$P69</f>
        <v>129683</v>
      </c>
      <c r="K69" s="123">
        <f>Hours!M169*$P69</f>
        <v>125583</v>
      </c>
      <c r="L69" s="123">
        <f>Hours!N169*$P69</f>
        <v>130011</v>
      </c>
      <c r="M69" s="123">
        <f>Hours!O169*$P69</f>
        <v>125255</v>
      </c>
      <c r="N69" s="87">
        <f t="shared" si="19"/>
        <v>1527315.6</v>
      </c>
      <c r="O69" s="124"/>
      <c r="P69" s="123">
        <v>41</v>
      </c>
      <c r="Q69" s="7"/>
      <c r="R69" s="7"/>
    </row>
    <row r="70" spans="1:18" ht="15.5" customHeight="1" x14ac:dyDescent="0.2">
      <c r="A70" s="145" t="s">
        <v>153</v>
      </c>
      <c r="B70" s="123">
        <f>Hours!D170*$P70</f>
        <v>31037</v>
      </c>
      <c r="C70" s="123">
        <f>Hours!E170*$P70</f>
        <v>31037</v>
      </c>
      <c r="D70" s="123">
        <f>Hours!F170*$P70</f>
        <v>29684</v>
      </c>
      <c r="E70" s="123">
        <f>Hours!G170*$P70</f>
        <v>31037</v>
      </c>
      <c r="F70" s="123">
        <f>Hours!H170*$P70</f>
        <v>29684</v>
      </c>
      <c r="G70" s="123">
        <f>Hours!I170*$P70</f>
        <v>28700</v>
      </c>
      <c r="H70" s="123">
        <f>Hours!J170*$P70</f>
        <v>31037</v>
      </c>
      <c r="I70" s="123">
        <f>Hours!K170*$P70</f>
        <v>28700</v>
      </c>
      <c r="J70" s="123">
        <f>Hours!L170*$P70</f>
        <v>31037</v>
      </c>
      <c r="K70" s="123">
        <f>Hours!M170*$P70</f>
        <v>29684</v>
      </c>
      <c r="L70" s="123">
        <f>Hours!N170*$P70</f>
        <v>31037</v>
      </c>
      <c r="M70" s="123">
        <f>Hours!O170*$P70</f>
        <v>29684</v>
      </c>
      <c r="N70" s="89">
        <f t="shared" si="19"/>
        <v>362358</v>
      </c>
      <c r="O70" s="124"/>
      <c r="P70" s="123">
        <v>41</v>
      </c>
      <c r="Q70" s="7"/>
      <c r="R70" s="7"/>
    </row>
    <row r="71" spans="1:18" ht="15.5" customHeight="1" x14ac:dyDescent="0.2">
      <c r="A71" s="126" t="s">
        <v>180</v>
      </c>
      <c r="B71" s="127">
        <f>SUM(B68:B70)</f>
        <v>553817.75</v>
      </c>
      <c r="C71" s="127">
        <f t="shared" ref="C71:M71" si="20">SUM(C68:C70)</f>
        <v>554576.25</v>
      </c>
      <c r="D71" s="127">
        <f t="shared" si="20"/>
        <v>544849</v>
      </c>
      <c r="E71" s="127">
        <f t="shared" si="20"/>
        <v>552690.25</v>
      </c>
      <c r="F71" s="127">
        <f t="shared" si="20"/>
        <v>543988</v>
      </c>
      <c r="G71" s="127">
        <f t="shared" si="20"/>
        <v>526532.93333333335</v>
      </c>
      <c r="H71" s="127">
        <f t="shared" si="20"/>
        <v>557159.25</v>
      </c>
      <c r="I71" s="127">
        <f t="shared" si="20"/>
        <v>524364.03333333344</v>
      </c>
      <c r="J71" s="127">
        <f t="shared" si="20"/>
        <v>554576.25</v>
      </c>
      <c r="K71" s="127">
        <f t="shared" si="20"/>
        <v>543496</v>
      </c>
      <c r="L71" s="127">
        <f t="shared" si="20"/>
        <v>555314.25</v>
      </c>
      <c r="M71" s="127">
        <f t="shared" si="20"/>
        <v>548990</v>
      </c>
      <c r="N71" s="127">
        <f t="shared" si="19"/>
        <v>6560353.9666666668</v>
      </c>
      <c r="O71" s="128"/>
      <c r="P71" s="259"/>
      <c r="Q71" s="7"/>
      <c r="R71" s="7"/>
    </row>
    <row r="72" spans="1:18" ht="15.5" customHeight="1" x14ac:dyDescent="0.2">
      <c r="A72" s="143"/>
      <c r="B72" s="7"/>
      <c r="C72" s="7"/>
      <c r="D72" s="7"/>
      <c r="E72" s="7"/>
      <c r="F72" s="7"/>
      <c r="G72" s="7"/>
      <c r="H72" s="7"/>
      <c r="I72" s="7"/>
      <c r="J72" s="7"/>
      <c r="K72" s="7"/>
      <c r="L72" s="7"/>
      <c r="M72" s="7"/>
      <c r="N72" s="48"/>
      <c r="O72" s="7"/>
      <c r="P72" s="7"/>
      <c r="Q72" s="7"/>
      <c r="R72" s="7"/>
    </row>
    <row r="73" spans="1:18" ht="15.5" customHeight="1" x14ac:dyDescent="0.2">
      <c r="A73" s="343" t="s">
        <v>407</v>
      </c>
      <c r="B73" s="7"/>
      <c r="C73" s="7"/>
      <c r="D73" s="7"/>
      <c r="E73" s="7"/>
      <c r="F73" s="7"/>
      <c r="G73" s="7"/>
      <c r="H73" s="7"/>
      <c r="I73" s="7"/>
      <c r="J73" s="7"/>
      <c r="K73" s="7"/>
      <c r="L73" s="7"/>
      <c r="M73" s="7"/>
      <c r="N73" s="48"/>
      <c r="O73" s="7"/>
      <c r="P73" s="7"/>
      <c r="Q73" s="7"/>
      <c r="R73" s="7"/>
    </row>
    <row r="74" spans="1:18" ht="15.5" customHeight="1" x14ac:dyDescent="0.2">
      <c r="A74" s="344" t="s">
        <v>167</v>
      </c>
      <c r="B74" s="345">
        <f>Hours!D221*Hours!C221</f>
        <v>54724.799999999996</v>
      </c>
      <c r="C74" s="345">
        <f>SUM(Hours!E221*Hours!C221)</f>
        <v>54724.799999999996</v>
      </c>
      <c r="D74" s="345">
        <f>SUM(Hours!F221*Hours!C221)</f>
        <v>54724.799999999996</v>
      </c>
      <c r="E74" s="345">
        <f>Hours!G221*Hours!C221</f>
        <v>54724.799999999996</v>
      </c>
      <c r="F74" s="345">
        <f>Hours!H221*Hours!C221</f>
        <v>54724.799999999996</v>
      </c>
      <c r="G74" s="345">
        <f>Hours!I221*Hours!C221</f>
        <v>54724.799999999996</v>
      </c>
      <c r="H74" s="345">
        <f>Hours!J221*Hours!C221</f>
        <v>54724.799999999996</v>
      </c>
      <c r="I74" s="345">
        <f>Hours!K221*Hours!C221</f>
        <v>54724.799999999996</v>
      </c>
      <c r="J74" s="345">
        <f>Hours!L221*Hours!C221</f>
        <v>54724.799999999996</v>
      </c>
      <c r="K74" s="345">
        <f>Hours!M221*Hours!C221</f>
        <v>54724.799999999996</v>
      </c>
      <c r="L74" s="345">
        <f>Hours!N221*Hours!C221</f>
        <v>54724.799999999996</v>
      </c>
      <c r="M74" s="345">
        <f>Hours!O221*Hours!C221</f>
        <v>54724.799999999996</v>
      </c>
      <c r="N74" s="346">
        <f>SUM(B74:M74)</f>
        <v>656697.60000000009</v>
      </c>
      <c r="O74" s="7"/>
      <c r="P74" s="7"/>
      <c r="Q74" s="144"/>
      <c r="R74" s="7"/>
    </row>
    <row r="75" spans="1:18" ht="15.5" customHeight="1" x14ac:dyDescent="0.2">
      <c r="A75" s="342" t="s">
        <v>406</v>
      </c>
      <c r="B75" s="347">
        <f t="shared" ref="B75:N75" si="21">B74</f>
        <v>54724.799999999996</v>
      </c>
      <c r="C75" s="347">
        <f t="shared" si="21"/>
        <v>54724.799999999996</v>
      </c>
      <c r="D75" s="347">
        <f t="shared" si="21"/>
        <v>54724.799999999996</v>
      </c>
      <c r="E75" s="347">
        <f t="shared" si="21"/>
        <v>54724.799999999996</v>
      </c>
      <c r="F75" s="347">
        <f t="shared" si="21"/>
        <v>54724.799999999996</v>
      </c>
      <c r="G75" s="347">
        <f t="shared" si="21"/>
        <v>54724.799999999996</v>
      </c>
      <c r="H75" s="347">
        <f t="shared" si="21"/>
        <v>54724.799999999996</v>
      </c>
      <c r="I75" s="347">
        <f t="shared" si="21"/>
        <v>54724.799999999996</v>
      </c>
      <c r="J75" s="347">
        <f t="shared" si="21"/>
        <v>54724.799999999996</v>
      </c>
      <c r="K75" s="347">
        <f t="shared" si="21"/>
        <v>54724.799999999996</v>
      </c>
      <c r="L75" s="347">
        <f t="shared" si="21"/>
        <v>54724.799999999996</v>
      </c>
      <c r="M75" s="347">
        <f t="shared" si="21"/>
        <v>54724.799999999996</v>
      </c>
      <c r="N75" s="348">
        <f t="shared" si="21"/>
        <v>656697.60000000009</v>
      </c>
      <c r="O75" s="7"/>
      <c r="P75" s="259" t="s">
        <v>405</v>
      </c>
      <c r="Q75" s="264"/>
      <c r="R75" s="67"/>
    </row>
    <row r="76" spans="1:18" ht="15.5" customHeight="1" x14ac:dyDescent="0.2">
      <c r="A76" s="7"/>
      <c r="B76" s="7"/>
      <c r="C76" s="7"/>
      <c r="D76" s="7"/>
      <c r="E76" s="7"/>
      <c r="F76" s="7"/>
      <c r="G76" s="7"/>
      <c r="H76" s="7"/>
      <c r="I76" s="7"/>
      <c r="J76" s="7"/>
      <c r="K76" s="7"/>
      <c r="L76" s="7"/>
      <c r="M76" s="7"/>
      <c r="N76" s="7"/>
      <c r="O76" s="7"/>
      <c r="P76" s="7"/>
      <c r="Q76" s="264"/>
      <c r="R76" s="67"/>
    </row>
    <row r="77" spans="1:18" ht="15.5" customHeight="1" x14ac:dyDescent="0.2">
      <c r="A77" s="335" t="s">
        <v>313</v>
      </c>
      <c r="B77" s="121"/>
      <c r="C77" s="121"/>
      <c r="D77" s="121"/>
      <c r="E77" s="121"/>
      <c r="F77" s="121"/>
      <c r="G77" s="121"/>
      <c r="H77" s="121"/>
      <c r="I77" s="121"/>
      <c r="J77" s="121"/>
      <c r="K77" s="121"/>
      <c r="L77" s="121"/>
      <c r="M77" s="121"/>
      <c r="N77" s="115"/>
      <c r="O77" s="115"/>
      <c r="P77" s="10"/>
      <c r="Q77" s="264"/>
      <c r="R77" s="67"/>
    </row>
    <row r="78" spans="1:18" ht="15.5" customHeight="1" x14ac:dyDescent="0.2">
      <c r="A78" s="122" t="s">
        <v>219</v>
      </c>
      <c r="B78" s="134" cm="1">
        <f t="array" ref="B78">SUM(Hours!D190:D191*Hours!C190)</f>
        <v>36210</v>
      </c>
      <c r="C78" s="134" cm="1">
        <f t="array" ref="C78">SUM(Hours!E190:E191*Hours!C190)</f>
        <v>36210</v>
      </c>
      <c r="D78" s="134" cm="1">
        <f t="array" ref="D78">SUM(Hours!F190:F191*Hours!C190)</f>
        <v>36210</v>
      </c>
      <c r="E78" s="134" cm="1">
        <f t="array" ref="E78">SUM(Hours!G190:G191*Hours!C190)</f>
        <v>36210</v>
      </c>
      <c r="F78" s="134" cm="1">
        <f t="array" ref="F78">SUM(Hours!H190:H191*Hours!C190)</f>
        <v>36210</v>
      </c>
      <c r="G78" s="134" cm="1">
        <f t="array" ref="G78">SUM(Hours!I190:I191*Hours!C190)</f>
        <v>36210</v>
      </c>
      <c r="H78" s="134" cm="1">
        <f t="array" ref="H78">SUM(Hours!J190:J191*Hours!C190)</f>
        <v>36210</v>
      </c>
      <c r="I78" s="134" cm="1">
        <f t="array" ref="I78">SUM(Hours!K190:K191*Hours!C190)</f>
        <v>36210</v>
      </c>
      <c r="J78" s="134" cm="1">
        <f t="array" ref="J78">SUM(Hours!L190:L191*Hours!C190)</f>
        <v>36210</v>
      </c>
      <c r="K78" s="134" cm="1">
        <f t="array" ref="K78">SUM(Hours!M190:M191*Hours!C190)</f>
        <v>36210</v>
      </c>
      <c r="L78" s="134" cm="1">
        <f t="array" ref="L78">SUM(Hours!N190:N191*Hours!C190)</f>
        <v>36210</v>
      </c>
      <c r="M78" s="134" cm="1">
        <f t="array" ref="M78">SUM(Hours!O190:O191*Hours!C190)</f>
        <v>36210</v>
      </c>
      <c r="N78" s="87">
        <f>SUM(B78:M78)</f>
        <v>434520</v>
      </c>
      <c r="O78" s="124"/>
      <c r="P78" s="123"/>
      <c r="Q78" s="264"/>
      <c r="R78" s="67"/>
    </row>
    <row r="79" spans="1:18" ht="15.5" customHeight="1" x14ac:dyDescent="0.2">
      <c r="A79" s="122" t="s">
        <v>354</v>
      </c>
      <c r="B79" s="134">
        <f>SUM(Hours!D194*Hours!C194+Hours!D195*Hours!C195+Hours!D196*Hours!C196)</f>
        <v>6052.08</v>
      </c>
      <c r="C79" s="134">
        <f>SUM(Hours!E194*Hours!C194+Hours!E195*Hours!C195+Hours!E196*Hours!C196)</f>
        <v>6052.08</v>
      </c>
      <c r="D79" s="134">
        <f>SUM(Hours!F194*Hours!C194+Hours!F195*Hours!C195+Hours!F196*Hours!C196)</f>
        <v>6052.08</v>
      </c>
      <c r="E79" s="134">
        <f>SUM(Hours!G194*Hours!C194+Hours!G195*Hours!C195+Hours!G196*Hours!C196)</f>
        <v>6052.08</v>
      </c>
      <c r="F79" s="134">
        <f>SUM(Hours!H194*Hours!C194+Hours!H195*Hours!C195+Hours!H196*Hours!C196)</f>
        <v>6052.08</v>
      </c>
      <c r="G79" s="134">
        <f>SUM(Hours!I194*Hours!C194+Hours!I195*Hours!C195+Hours!I196*Hours!C196)</f>
        <v>6052.08</v>
      </c>
      <c r="H79" s="134">
        <f>SUM(Hours!J194*Hours!C194+Hours!J195*Hours!C195+Hours!J196*Hours!C196)</f>
        <v>6052.08</v>
      </c>
      <c r="I79" s="134">
        <f>SUM(Hours!K194*Hours!C194+Hours!K195*Hours!C195+Hours!K196*Hours!C196)</f>
        <v>6052.08</v>
      </c>
      <c r="J79" s="134">
        <f>SUM(Hours!L194*Hours!C194+Hours!L195*Hours!C195+Hours!L196*Hours!C196)</f>
        <v>6052.08</v>
      </c>
      <c r="K79" s="134">
        <f>SUM(Hours!M194*Hours!C194+Hours!M195*Hours!C195+Hours!M196*Hours!C196)</f>
        <v>6052.08</v>
      </c>
      <c r="L79" s="134">
        <f>SUM(Hours!N194*Hours!C194+Hours!N195*Hours!C195+Hours!N196*Hours!C196)</f>
        <v>6052.08</v>
      </c>
      <c r="M79" s="134">
        <f>SUM(Hours!O194*Hours!C194+Hours!O195*Hours!C195+Hours!O196*Hours!C196)</f>
        <v>6052.08</v>
      </c>
      <c r="N79" s="87">
        <f>SUM(B79:M79)</f>
        <v>72624.960000000006</v>
      </c>
      <c r="O79" s="124"/>
      <c r="P79" s="123"/>
      <c r="Q79" s="264"/>
      <c r="R79" s="67"/>
    </row>
    <row r="80" spans="1:18" ht="15.5" customHeight="1" x14ac:dyDescent="0.2">
      <c r="A80" s="122" t="s">
        <v>203</v>
      </c>
      <c r="B80" s="134">
        <f>SUM(Hours!D198*Hours!C198+Hours!D199*Hours!C199+Hours!D200*Hours!C200+Hours!D202*Hours!C202)</f>
        <v>15092.9</v>
      </c>
      <c r="C80" s="134">
        <f>SUM(Hours!E198*Hours!C198+Hours!E199*Hours!C199+Hours!E200*Hours!C200+Hours!E202*Hours!C202)</f>
        <v>15092.9</v>
      </c>
      <c r="D80" s="134">
        <f>SUM(Hours!F198*Hours!C198+Hours!F199*Hours!C199+Hours!F200*Hours!C200+Hours!F202*Hours!C202)</f>
        <v>15092.9</v>
      </c>
      <c r="E80" s="134">
        <f>SUM(Hours!G198*Hours!C198+Hours!G199*Hours!C199+Hours!G200*Hours!C200+Hours!G202*Hours!C202)</f>
        <v>15092.9</v>
      </c>
      <c r="F80" s="134">
        <f>SUM(Hours!H198*Hours!C198+Hours!H199*Hours!C199+Hours!H200*Hours!C200+Hours!H202*Hours!C202)</f>
        <v>15092.9</v>
      </c>
      <c r="G80" s="134">
        <f>SUM(Hours!I198*Hours!C198+Hours!I199*Hours!C199+Hours!I200*Hours!C200+Hours!I202*Hours!C202)</f>
        <v>15092.9</v>
      </c>
      <c r="H80" s="134">
        <f>SUM(Hours!J198*Hours!C198+Hours!J199*Hours!C199+Hours!J200*Hours!C200+Hours!J202*Hours!C202)</f>
        <v>15092.9</v>
      </c>
      <c r="I80" s="134">
        <f>SUM(Hours!K198*Hours!C198+Hours!K199*Hours!C199+Hours!K200*Hours!C200+Hours!K202*Hours!C202)</f>
        <v>15092.9</v>
      </c>
      <c r="J80" s="134">
        <f>SUM(Hours!L198*Hours!C198+Hours!L199*Hours!C199+Hours!L200*Hours!C200+Hours!L202*Hours!C202)</f>
        <v>15092.9</v>
      </c>
      <c r="K80" s="134">
        <f>SUM(Hours!M198*Hours!C198+Hours!M199*Hours!C199+Hours!M200*Hours!C200+Hours!M202*Hours!C202)</f>
        <v>15092.9</v>
      </c>
      <c r="L80" s="134">
        <f>SUM(Hours!N198*Hours!C198+Hours!N199*Hours!C199+Hours!N200*Hours!C200+Hours!N202*Hours!C202)</f>
        <v>15092.9</v>
      </c>
      <c r="M80" s="134">
        <f>SUM(Hours!O198*Hours!C198+Hours!O199*Hours!C199+Hours!O200*Hours!C200+Hours!O202*Hours!C202)</f>
        <v>15092.9</v>
      </c>
      <c r="N80" s="87">
        <f>SUM(B80:M80)</f>
        <v>181114.79999999996</v>
      </c>
      <c r="O80" s="124"/>
      <c r="P80" s="123"/>
      <c r="Q80" s="7"/>
      <c r="R80" s="7"/>
    </row>
    <row r="81" spans="1:18" ht="15.5" customHeight="1" x14ac:dyDescent="0.2">
      <c r="A81" s="122" t="s">
        <v>359</v>
      </c>
      <c r="B81" s="134">
        <f>(34*Hours!D206)+(52*Hours!D205)+(43*Hours!D204)</f>
        <v>59300</v>
      </c>
      <c r="C81" s="134">
        <f>(34*Hours!E206)+(52*Hours!E205)+(43*Hours!E204)</f>
        <v>59300</v>
      </c>
      <c r="D81" s="134">
        <f>(34*Hours!F206)+(52*Hours!F205)+(43*Hours!F204)</f>
        <v>58450</v>
      </c>
      <c r="E81" s="134">
        <f>(34*Hours!G206)+(52*Hours!G205)+(43*Hours!G204)</f>
        <v>59300</v>
      </c>
      <c r="F81" s="134">
        <f>(34*Hours!H206)+(52*Hours!H205)+(43*Hours!H204)</f>
        <v>58450</v>
      </c>
      <c r="G81" s="134">
        <f>(34*Hours!I206)+(52*Hours!I205)+(43*Hours!I204)</f>
        <v>59300</v>
      </c>
      <c r="H81" s="134">
        <f>(34*Hours!J206)+(52*Hours!J205)+(43*Hours!J204)</f>
        <v>59300</v>
      </c>
      <c r="I81" s="134">
        <f>(34*Hours!K206)+(52*Hours!K205)+(43*Hours!K204)</f>
        <v>57600</v>
      </c>
      <c r="J81" s="134">
        <f>(34*Hours!L206)+(52*Hours!L205)+(43*Hours!L204)</f>
        <v>59300</v>
      </c>
      <c r="K81" s="134">
        <f>(34*Hours!M206)+(52*Hours!M205)+(43*Hours!M204)</f>
        <v>58450</v>
      </c>
      <c r="L81" s="134">
        <f>(34*Hours!N206)+(52*Hours!N205)+(43*Hours!N204)</f>
        <v>59300</v>
      </c>
      <c r="M81" s="134">
        <f>(34*Hours!O206)+(52*Hours!O205)+(43*Hours!O204)</f>
        <v>50925</v>
      </c>
      <c r="N81" s="87">
        <f>SUM(B81:M81)</f>
        <v>698975</v>
      </c>
      <c r="O81" s="124"/>
      <c r="P81" s="123"/>
      <c r="Q81" s="7"/>
      <c r="R81" s="7"/>
    </row>
    <row r="82" spans="1:18" ht="15.5" customHeight="1" x14ac:dyDescent="0.2">
      <c r="A82" s="122" t="s">
        <v>366</v>
      </c>
      <c r="B82" s="134">
        <v>2000</v>
      </c>
      <c r="C82" s="134">
        <v>2000</v>
      </c>
      <c r="D82" s="134">
        <v>2000</v>
      </c>
      <c r="E82" s="134">
        <v>2000</v>
      </c>
      <c r="F82" s="134">
        <v>2000</v>
      </c>
      <c r="G82" s="134">
        <v>2000</v>
      </c>
      <c r="H82" s="134">
        <v>2000</v>
      </c>
      <c r="I82" s="134">
        <v>2000</v>
      </c>
      <c r="J82" s="134">
        <v>2000</v>
      </c>
      <c r="K82" s="134">
        <v>2000</v>
      </c>
      <c r="L82" s="134">
        <v>2000</v>
      </c>
      <c r="M82" s="134">
        <v>2000</v>
      </c>
      <c r="N82" s="87">
        <f>SUM(B82:M82)</f>
        <v>24000</v>
      </c>
      <c r="O82" s="124"/>
      <c r="P82" s="123"/>
      <c r="Q82" s="7"/>
      <c r="R82" s="7"/>
    </row>
    <row r="83" spans="1:18" ht="15.5" customHeight="1" x14ac:dyDescent="0.2">
      <c r="A83" s="334" t="s">
        <v>402</v>
      </c>
      <c r="B83" s="336">
        <f t="shared" ref="B83:N83" si="22">SUM(B78:B82)</f>
        <v>118654.98000000001</v>
      </c>
      <c r="C83" s="336">
        <f t="shared" si="22"/>
        <v>118654.98000000001</v>
      </c>
      <c r="D83" s="336">
        <f t="shared" si="22"/>
        <v>117804.98000000001</v>
      </c>
      <c r="E83" s="336">
        <f t="shared" si="22"/>
        <v>118654.98000000001</v>
      </c>
      <c r="F83" s="336">
        <f t="shared" si="22"/>
        <v>117804.98000000001</v>
      </c>
      <c r="G83" s="336">
        <f t="shared" si="22"/>
        <v>118654.98000000001</v>
      </c>
      <c r="H83" s="336">
        <f t="shared" si="22"/>
        <v>118654.98000000001</v>
      </c>
      <c r="I83" s="336">
        <f t="shared" si="22"/>
        <v>116954.98000000001</v>
      </c>
      <c r="J83" s="336">
        <f t="shared" si="22"/>
        <v>118654.98000000001</v>
      </c>
      <c r="K83" s="336">
        <f t="shared" si="22"/>
        <v>117804.98000000001</v>
      </c>
      <c r="L83" s="336">
        <f t="shared" si="22"/>
        <v>118654.98000000001</v>
      </c>
      <c r="M83" s="336">
        <f t="shared" si="22"/>
        <v>110279.98000000001</v>
      </c>
      <c r="N83" s="336">
        <f t="shared" si="22"/>
        <v>1411234.76</v>
      </c>
      <c r="O83" s="124"/>
      <c r="P83" s="259" t="s">
        <v>409</v>
      </c>
      <c r="Q83" s="124"/>
      <c r="R83" s="7"/>
    </row>
    <row r="84" spans="1:18" ht="15.5" customHeight="1" x14ac:dyDescent="0.2">
      <c r="A84" s="290"/>
      <c r="B84" s="7"/>
      <c r="C84" s="7"/>
      <c r="D84" s="7"/>
      <c r="E84" s="7"/>
      <c r="F84" s="7"/>
      <c r="G84" s="7"/>
      <c r="H84" s="7"/>
      <c r="I84" s="7"/>
      <c r="J84" s="7"/>
      <c r="K84" s="7"/>
      <c r="L84" s="7"/>
      <c r="M84" s="7"/>
      <c r="N84" s="7"/>
      <c r="O84" s="7"/>
      <c r="P84" s="11"/>
      <c r="Q84" s="7"/>
      <c r="R84" s="7"/>
    </row>
    <row r="85" spans="1:18" ht="15.5" customHeight="1" x14ac:dyDescent="0.2">
      <c r="A85" s="7"/>
      <c r="B85" s="7"/>
      <c r="C85" s="7"/>
      <c r="D85" s="7"/>
      <c r="E85" s="7"/>
      <c r="F85" s="7"/>
      <c r="G85" s="7"/>
      <c r="H85" s="7"/>
      <c r="I85" s="7"/>
      <c r="J85" s="7"/>
      <c r="K85" s="7"/>
      <c r="L85" s="7"/>
      <c r="M85" s="7"/>
      <c r="N85" s="7"/>
      <c r="O85" s="7"/>
      <c r="P85" s="11"/>
      <c r="Q85" s="7"/>
      <c r="R85" s="7"/>
    </row>
    <row r="86" spans="1:18" ht="15.5" customHeight="1" x14ac:dyDescent="0.2">
      <c r="A86" s="151" t="s">
        <v>416</v>
      </c>
      <c r="B86" s="137">
        <f t="shared" ref="B86:N86" si="23">B71</f>
        <v>553817.75</v>
      </c>
      <c r="C86" s="137">
        <f t="shared" si="23"/>
        <v>554576.25</v>
      </c>
      <c r="D86" s="137">
        <f t="shared" si="23"/>
        <v>544849</v>
      </c>
      <c r="E86" s="137">
        <f t="shared" si="23"/>
        <v>552690.25</v>
      </c>
      <c r="F86" s="137">
        <f t="shared" si="23"/>
        <v>543988</v>
      </c>
      <c r="G86" s="137">
        <f t="shared" si="23"/>
        <v>526532.93333333335</v>
      </c>
      <c r="H86" s="137">
        <f t="shared" si="23"/>
        <v>557159.25</v>
      </c>
      <c r="I86" s="137">
        <f t="shared" si="23"/>
        <v>524364.03333333344</v>
      </c>
      <c r="J86" s="137">
        <f t="shared" si="23"/>
        <v>554576.25</v>
      </c>
      <c r="K86" s="137">
        <f t="shared" si="23"/>
        <v>543496</v>
      </c>
      <c r="L86" s="137">
        <f t="shared" si="23"/>
        <v>555314.25</v>
      </c>
      <c r="M86" s="137">
        <f t="shared" si="23"/>
        <v>548990</v>
      </c>
      <c r="N86" s="267">
        <f t="shared" si="23"/>
        <v>6560353.9666666668</v>
      </c>
      <c r="O86" s="128"/>
      <c r="P86" s="259" t="s">
        <v>311</v>
      </c>
      <c r="Q86" s="124"/>
      <c r="R86" s="7"/>
    </row>
    <row r="87" spans="1:18" ht="15.5" customHeight="1" x14ac:dyDescent="0.2">
      <c r="A87" s="7"/>
      <c r="B87" s="7"/>
      <c r="C87" s="7"/>
      <c r="D87" s="7"/>
      <c r="E87" s="7"/>
      <c r="F87" s="7"/>
      <c r="G87" s="7"/>
      <c r="H87" s="7"/>
      <c r="I87" s="7"/>
      <c r="J87" s="7"/>
      <c r="K87" s="7"/>
      <c r="L87" s="7"/>
      <c r="M87" s="7"/>
      <c r="N87" s="7"/>
      <c r="O87" s="7"/>
      <c r="P87" s="11"/>
      <c r="Q87" s="67" t="s">
        <v>183</v>
      </c>
      <c r="R87" s="7"/>
    </row>
    <row r="88" spans="1:18" ht="15.5" customHeight="1" x14ac:dyDescent="0.2">
      <c r="A88" s="7"/>
      <c r="B88" s="7"/>
      <c r="C88" s="7"/>
      <c r="D88" s="7"/>
      <c r="E88" s="7"/>
      <c r="F88" s="7"/>
      <c r="G88" s="7"/>
      <c r="H88" s="7"/>
      <c r="I88" s="7"/>
      <c r="J88" s="7"/>
      <c r="K88" s="7"/>
      <c r="L88" s="7"/>
      <c r="M88" s="7"/>
      <c r="N88" s="7"/>
      <c r="O88" s="7"/>
      <c r="P88" s="11"/>
      <c r="Q88" s="67" t="s">
        <v>183</v>
      </c>
      <c r="R88" s="7"/>
    </row>
    <row r="89" spans="1:18" ht="15.5" customHeight="1" x14ac:dyDescent="0.2">
      <c r="A89" s="122" t="s">
        <v>181</v>
      </c>
      <c r="B89" s="7"/>
      <c r="C89" s="7"/>
      <c r="D89" s="7"/>
      <c r="E89" s="7"/>
      <c r="F89" s="7"/>
      <c r="G89" s="7"/>
      <c r="H89" s="7"/>
      <c r="I89" s="7"/>
      <c r="J89" s="7"/>
      <c r="K89" s="7"/>
      <c r="L89" s="7"/>
      <c r="M89" s="7"/>
      <c r="N89" s="7"/>
      <c r="O89" s="7"/>
      <c r="P89" s="144" t="s">
        <v>182</v>
      </c>
      <c r="Q89" s="67" t="s">
        <v>183</v>
      </c>
      <c r="R89" s="7"/>
    </row>
    <row r="90" spans="1:18" ht="15.5" customHeight="1" x14ac:dyDescent="0.2">
      <c r="A90" s="122" t="s">
        <v>156</v>
      </c>
      <c r="B90" s="123">
        <f>Hours!D181*$P90</f>
        <v>8000</v>
      </c>
      <c r="C90" s="123">
        <f>Hours!E181*$P90</f>
        <v>8000</v>
      </c>
      <c r="D90" s="123">
        <f>Hours!F181*$P90</f>
        <v>8000</v>
      </c>
      <c r="E90" s="123">
        <f>Hours!G181*$P90</f>
        <v>8000</v>
      </c>
      <c r="F90" s="123">
        <f>Hours!H181*$P90</f>
        <v>8000</v>
      </c>
      <c r="G90" s="123">
        <f>Hours!I181*$P90</f>
        <v>8000</v>
      </c>
      <c r="H90" s="123">
        <f>Hours!J181*$P90</f>
        <v>8000</v>
      </c>
      <c r="I90" s="123">
        <f>Hours!K181*$P90</f>
        <v>8000</v>
      </c>
      <c r="J90" s="123">
        <f>Hours!L181*$P90</f>
        <v>8000</v>
      </c>
      <c r="K90" s="123">
        <f>Hours!M181*$P90</f>
        <v>8000</v>
      </c>
      <c r="L90" s="123">
        <f>Hours!N181*$P90</f>
        <v>8000</v>
      </c>
      <c r="M90" s="123">
        <f>Hours!O181*$P90</f>
        <v>8000</v>
      </c>
      <c r="N90" s="87">
        <f>SUM(B90:M90)</f>
        <v>96000</v>
      </c>
      <c r="O90" s="7"/>
      <c r="P90" s="133">
        <v>8000</v>
      </c>
      <c r="Q90" s="67" t="s">
        <v>183</v>
      </c>
      <c r="R90" s="7"/>
    </row>
    <row r="91" spans="1:18" ht="15.5" customHeight="1" x14ac:dyDescent="0.2">
      <c r="A91" s="122" t="s">
        <v>158</v>
      </c>
      <c r="B91" s="123">
        <f>Hours!D182*$P91</f>
        <v>18000</v>
      </c>
      <c r="C91" s="123">
        <f>Hours!E182*$P91</f>
        <v>18000</v>
      </c>
      <c r="D91" s="123">
        <f>Hours!F182*$P91</f>
        <v>18000</v>
      </c>
      <c r="E91" s="123">
        <f>Hours!G182*$P91</f>
        <v>18000</v>
      </c>
      <c r="F91" s="123">
        <f>Hours!H182*$P91</f>
        <v>18000</v>
      </c>
      <c r="G91" s="123">
        <f>Hours!I182*$P91</f>
        <v>18000</v>
      </c>
      <c r="H91" s="123">
        <f>Hours!J182*$P91</f>
        <v>18000</v>
      </c>
      <c r="I91" s="123">
        <f>Hours!K182*$P91</f>
        <v>18000</v>
      </c>
      <c r="J91" s="123">
        <f>Hours!L182*$P91</f>
        <v>18000</v>
      </c>
      <c r="K91" s="123">
        <f>Hours!M182*$P91</f>
        <v>18000</v>
      </c>
      <c r="L91" s="123">
        <f>Hours!N182*$P91</f>
        <v>18000</v>
      </c>
      <c r="M91" s="123">
        <f>Hours!O182*$P91</f>
        <v>18000</v>
      </c>
      <c r="N91" s="87">
        <f>SUM(B91:M91)</f>
        <v>216000</v>
      </c>
      <c r="O91" s="7"/>
      <c r="P91" s="123">
        <v>9000</v>
      </c>
      <c r="Q91" s="7"/>
      <c r="R91" s="7"/>
    </row>
    <row r="92" spans="1:18" ht="15.5" customHeight="1" x14ac:dyDescent="0.2">
      <c r="A92" s="122" t="s">
        <v>159</v>
      </c>
      <c r="B92" s="123">
        <f>Hours!D183*$P92</f>
        <v>12000</v>
      </c>
      <c r="C92" s="123">
        <f>Hours!E183*$P92</f>
        <v>12000</v>
      </c>
      <c r="D92" s="123">
        <f>Hours!F183*$P92</f>
        <v>12000</v>
      </c>
      <c r="E92" s="123">
        <f>Hours!G183*$P92</f>
        <v>12000</v>
      </c>
      <c r="F92" s="123">
        <f>Hours!H183*$P92</f>
        <v>12000</v>
      </c>
      <c r="G92" s="123">
        <f>Hours!I183*$P92</f>
        <v>12000</v>
      </c>
      <c r="H92" s="123">
        <f>Hours!J183*$P92</f>
        <v>12000</v>
      </c>
      <c r="I92" s="123">
        <f>Hours!K183*$P92</f>
        <v>12000</v>
      </c>
      <c r="J92" s="123">
        <f>Hours!L183*$P92</f>
        <v>12000</v>
      </c>
      <c r="K92" s="123">
        <f>Hours!M183*$P92</f>
        <v>12000</v>
      </c>
      <c r="L92" s="123">
        <f>Hours!N183*$P92</f>
        <v>12000</v>
      </c>
      <c r="M92" s="123">
        <f>Hours!O183*$P92</f>
        <v>12000</v>
      </c>
      <c r="N92" s="87">
        <f>SUM(B92:M92)</f>
        <v>144000</v>
      </c>
      <c r="O92" s="7"/>
      <c r="P92" s="123">
        <v>12000</v>
      </c>
      <c r="Q92" s="124"/>
      <c r="R92" s="7"/>
    </row>
    <row r="93" spans="1:18" ht="15.5" customHeight="1" x14ac:dyDescent="0.2">
      <c r="A93" s="145" t="s">
        <v>160</v>
      </c>
      <c r="B93" s="123">
        <f>Hours!D184*$P93</f>
        <v>28000</v>
      </c>
      <c r="C93" s="123">
        <f>Hours!E184*$P93</f>
        <v>28000</v>
      </c>
      <c r="D93" s="123">
        <f>Hours!F184*$P93</f>
        <v>28000</v>
      </c>
      <c r="E93" s="123">
        <f>Hours!G184*$P93</f>
        <v>28000</v>
      </c>
      <c r="F93" s="123">
        <f>Hours!H184*$P93</f>
        <v>28000</v>
      </c>
      <c r="G93" s="123">
        <f>Hours!I184*$P93</f>
        <v>28000</v>
      </c>
      <c r="H93" s="123">
        <f>Hours!J184*$P93</f>
        <v>28000</v>
      </c>
      <c r="I93" s="123">
        <f>Hours!K184*$P93</f>
        <v>28000</v>
      </c>
      <c r="J93" s="123">
        <f>Hours!L184*$P93</f>
        <v>28000</v>
      </c>
      <c r="K93" s="123">
        <f>Hours!M184*$P93</f>
        <v>28000</v>
      </c>
      <c r="L93" s="123">
        <f>Hours!N184*$P93</f>
        <v>28000</v>
      </c>
      <c r="M93" s="123">
        <f>Hours!O184*$P93</f>
        <v>28000</v>
      </c>
      <c r="N93" s="89">
        <f>SUM(B93:M93)</f>
        <v>336000</v>
      </c>
      <c r="O93" s="7"/>
      <c r="P93" s="123">
        <v>14000</v>
      </c>
      <c r="Q93" s="124"/>
      <c r="R93" s="7"/>
    </row>
    <row r="94" spans="1:18" ht="15.5" customHeight="1" x14ac:dyDescent="0.2">
      <c r="A94" s="156" t="s">
        <v>184</v>
      </c>
      <c r="B94" s="137">
        <f>SUM(B90:B93)</f>
        <v>66000</v>
      </c>
      <c r="C94" s="87">
        <f t="shared" ref="C94:M94" si="24">SUM(C90:C93)</f>
        <v>66000</v>
      </c>
      <c r="D94" s="87">
        <f t="shared" si="24"/>
        <v>66000</v>
      </c>
      <c r="E94" s="87">
        <f t="shared" si="24"/>
        <v>66000</v>
      </c>
      <c r="F94" s="87">
        <f t="shared" si="24"/>
        <v>66000</v>
      </c>
      <c r="G94" s="87">
        <f t="shared" si="24"/>
        <v>66000</v>
      </c>
      <c r="H94" s="87">
        <f t="shared" si="24"/>
        <v>66000</v>
      </c>
      <c r="I94" s="87">
        <f t="shared" si="24"/>
        <v>66000</v>
      </c>
      <c r="J94" s="87">
        <f t="shared" si="24"/>
        <v>66000</v>
      </c>
      <c r="K94" s="87">
        <f t="shared" si="24"/>
        <v>66000</v>
      </c>
      <c r="L94" s="87">
        <f t="shared" si="24"/>
        <v>66000</v>
      </c>
      <c r="M94" s="152">
        <f t="shared" si="24"/>
        <v>66000</v>
      </c>
      <c r="N94" s="157">
        <f>SUM(B94:M94)</f>
        <v>792000</v>
      </c>
      <c r="O94" s="43"/>
      <c r="P94" s="259" t="s">
        <v>310</v>
      </c>
      <c r="Q94" s="124"/>
      <c r="R94" s="7"/>
    </row>
    <row r="95" spans="1:18" ht="16" customHeight="1" x14ac:dyDescent="0.2">
      <c r="A95" s="124"/>
      <c r="B95" s="124"/>
      <c r="C95" s="124"/>
      <c r="D95" s="124"/>
      <c r="E95" s="124"/>
      <c r="F95" s="124"/>
      <c r="G95" s="124"/>
      <c r="H95" s="124"/>
      <c r="I95" s="124"/>
      <c r="J95" s="124"/>
      <c r="K95" s="124"/>
      <c r="L95" s="124"/>
      <c r="M95" s="124"/>
      <c r="N95" s="124"/>
      <c r="O95" s="124"/>
      <c r="P95" s="124"/>
    </row>
    <row r="96" spans="1:18" ht="16" customHeight="1" x14ac:dyDescent="0.2">
      <c r="A96" s="128"/>
      <c r="B96" s="128"/>
      <c r="C96" s="124"/>
      <c r="D96" s="124"/>
      <c r="E96" s="124"/>
      <c r="F96" s="124"/>
      <c r="G96" s="124"/>
      <c r="H96" s="124"/>
      <c r="I96" s="124"/>
      <c r="J96" s="124"/>
      <c r="K96" s="124"/>
      <c r="L96" s="124"/>
      <c r="M96" s="124"/>
      <c r="N96" s="124"/>
      <c r="O96" s="124"/>
      <c r="P96" s="124"/>
    </row>
    <row r="97" spans="1:16" ht="16" customHeight="1" x14ac:dyDescent="0.2">
      <c r="A97" s="153" t="s">
        <v>408</v>
      </c>
      <c r="B97" s="260">
        <f t="shared" ref="B97:M97" si="25">+B86+B94+B83+B75</f>
        <v>793197.53</v>
      </c>
      <c r="C97" s="260">
        <f t="shared" si="25"/>
        <v>793956.03</v>
      </c>
      <c r="D97" s="260">
        <f t="shared" si="25"/>
        <v>783378.78</v>
      </c>
      <c r="E97" s="260">
        <f t="shared" si="25"/>
        <v>792070.03</v>
      </c>
      <c r="F97" s="260">
        <f t="shared" si="25"/>
        <v>782517.78</v>
      </c>
      <c r="G97" s="260">
        <f t="shared" si="25"/>
        <v>765912.71333333338</v>
      </c>
      <c r="H97" s="260">
        <f t="shared" si="25"/>
        <v>796539.03</v>
      </c>
      <c r="I97" s="260">
        <f t="shared" si="25"/>
        <v>762043.81333333347</v>
      </c>
      <c r="J97" s="260">
        <f t="shared" si="25"/>
        <v>793956.03</v>
      </c>
      <c r="K97" s="260">
        <f t="shared" si="25"/>
        <v>782025.78</v>
      </c>
      <c r="L97" s="260">
        <f t="shared" si="25"/>
        <v>794694.03</v>
      </c>
      <c r="M97" s="260">
        <f t="shared" si="25"/>
        <v>779994.78</v>
      </c>
      <c r="N97" s="260">
        <f>SUM(B97:M97)</f>
        <v>9420286.3266666662</v>
      </c>
      <c r="O97" s="124"/>
      <c r="P97" s="259" t="s">
        <v>309</v>
      </c>
    </row>
  </sheetData>
  <pageMargins left="0.45" right="0.45" top="0.5" bottom="0.5" header="0.3" footer="0.3"/>
  <pageSetup orientation="landscape"/>
  <headerFooter>
    <oddFooter>&amp;L&amp;"Calibri,Regular"&amp;12&amp;K000000New Budget Template 2022 2023 v51122(1).xlsx&amp;C&amp;"Calibri,Regular"&amp;12&amp;K000000Calculators&amp;R&amp;"Calibri,Regular"&amp;12&amp;K000000Page &amp;P of &amp;N</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P229"/>
  <sheetViews>
    <sheetView showGridLines="0" zoomScale="85" workbookViewId="0">
      <pane ySplit="4" topLeftCell="A191" activePane="bottomLeft" state="frozen"/>
      <selection pane="bottomLeft" activeCell="E205" sqref="E205:O205"/>
    </sheetView>
  </sheetViews>
  <sheetFormatPr baseColWidth="10" defaultColWidth="11" defaultRowHeight="12" customHeight="1" x14ac:dyDescent="0.2"/>
  <cols>
    <col min="1" max="1" width="20.33203125" style="5" customWidth="1"/>
    <col min="2" max="2" width="22.83203125" style="5" bestFit="1" customWidth="1"/>
    <col min="3" max="3" width="11.6640625" style="5" customWidth="1"/>
    <col min="4" max="17" width="11" style="5" customWidth="1"/>
    <col min="18" max="16384" width="11" style="5"/>
  </cols>
  <sheetData>
    <row r="1" spans="1:16" ht="14" customHeight="1" x14ac:dyDescent="0.2">
      <c r="A1" s="6" t="s">
        <v>6</v>
      </c>
      <c r="B1" s="7"/>
      <c r="C1" s="7"/>
      <c r="D1" s="86">
        <f>COUNTA(A6:A161)</f>
        <v>29</v>
      </c>
      <c r="E1" s="7"/>
      <c r="F1" s="7"/>
      <c r="G1" s="7"/>
      <c r="H1" s="7"/>
      <c r="I1" s="7"/>
      <c r="J1" s="7"/>
      <c r="K1" s="7"/>
      <c r="L1" s="7"/>
      <c r="M1" s="7"/>
      <c r="N1" s="7"/>
      <c r="O1" s="7"/>
      <c r="P1" s="7"/>
    </row>
    <row r="2" spans="1:16" ht="13" customHeight="1" x14ac:dyDescent="0.2">
      <c r="A2" s="9" t="str">
        <f>CONCATENATE("Proposed Budget for ",'Proposed Budget'!$R$5," - Hours by Staff")</f>
        <v>Proposed Budget for 2025-26 - Hours by Staff</v>
      </c>
      <c r="B2" s="7"/>
      <c r="C2" s="7"/>
      <c r="D2" s="7"/>
      <c r="E2" s="7"/>
      <c r="F2" s="7"/>
      <c r="G2" s="7"/>
      <c r="H2" s="7"/>
      <c r="I2" s="7"/>
      <c r="J2" s="7"/>
      <c r="K2" s="7"/>
      <c r="L2" s="7"/>
      <c r="M2" s="7"/>
      <c r="N2" s="7"/>
      <c r="O2" s="7"/>
      <c r="P2" s="7"/>
    </row>
    <row r="3" spans="1:16" ht="12" customHeight="1" x14ac:dyDescent="0.2">
      <c r="A3" s="158"/>
      <c r="B3" s="158"/>
      <c r="C3" s="158"/>
      <c r="D3" s="158"/>
      <c r="E3" s="158"/>
      <c r="F3" s="158"/>
      <c r="G3" s="158"/>
      <c r="H3" s="158"/>
      <c r="I3" s="158"/>
      <c r="J3" s="158"/>
      <c r="K3" s="158"/>
      <c r="L3" s="158"/>
      <c r="M3" s="158"/>
      <c r="N3" s="158"/>
      <c r="O3" s="158"/>
      <c r="P3" s="158"/>
    </row>
    <row r="4" spans="1:16" ht="26" customHeight="1" x14ac:dyDescent="0.2">
      <c r="A4" s="159" t="s">
        <v>186</v>
      </c>
      <c r="B4" s="160" t="s">
        <v>187</v>
      </c>
      <c r="C4" s="161" t="s">
        <v>188</v>
      </c>
      <c r="D4" s="162" t="str">
        <f>CONCATENATE("Jul '",MID('Proposed Budget'!$R$5,3,2))</f>
        <v>Jul '25</v>
      </c>
      <c r="E4" s="162" t="str">
        <f>CONCATENATE("Aug '",MID('Proposed Budget'!$R$5,3,2))</f>
        <v>Aug '25</v>
      </c>
      <c r="F4" s="162" t="str">
        <f>CONCATENATE("Sep '",MID('Proposed Budget'!$R$5,3,2))</f>
        <v>Sep '25</v>
      </c>
      <c r="G4" s="162" t="str">
        <f>CONCATENATE("Oct '",MID('Proposed Budget'!$R$5,3,2))</f>
        <v>Oct '25</v>
      </c>
      <c r="H4" s="162" t="str">
        <f>CONCATENATE("Nov '",MID('Proposed Budget'!$R$5,3,2))</f>
        <v>Nov '25</v>
      </c>
      <c r="I4" s="162" t="str">
        <f>CONCATENATE("Dec '",MID('Proposed Budget'!$R$5,3,2))</f>
        <v>Dec '25</v>
      </c>
      <c r="J4" s="162" t="str">
        <f>CONCATENATE("Jan '",MID('Proposed Budget'!$R$5,6,2))</f>
        <v>Jan '26</v>
      </c>
      <c r="K4" s="162" t="str">
        <f>CONCATENATE("Feb '",MID('Proposed Budget'!$R$5,6,2))</f>
        <v>Feb '26</v>
      </c>
      <c r="L4" s="162" t="str">
        <f>CONCATENATE("Mar '",MID('Proposed Budget'!$R$5,6,2))</f>
        <v>Mar '26</v>
      </c>
      <c r="M4" s="162" t="str">
        <f>CONCATENATE("Apr '",MID('Proposed Budget'!$R$5,6,2))</f>
        <v>Apr '26</v>
      </c>
      <c r="N4" s="162" t="str">
        <f>CONCATENATE("May '",MID('Proposed Budget'!$R$5,6,2))</f>
        <v>May '26</v>
      </c>
      <c r="O4" s="162" t="str">
        <f>CONCATENATE("Jun '",MID('Proposed Budget'!$R$5,6,2))</f>
        <v>Jun '26</v>
      </c>
      <c r="P4" s="162"/>
    </row>
    <row r="5" spans="1:16" ht="16" x14ac:dyDescent="0.2">
      <c r="A5" s="163"/>
      <c r="B5" s="164" t="s">
        <v>189</v>
      </c>
      <c r="C5" s="165"/>
      <c r="D5" s="165"/>
      <c r="E5" s="165"/>
      <c r="F5" s="165"/>
      <c r="G5" s="165"/>
      <c r="H5" s="165"/>
      <c r="I5" s="165"/>
      <c r="J5" s="165"/>
      <c r="K5" s="165"/>
      <c r="L5" s="165"/>
      <c r="M5" s="165"/>
      <c r="N5" s="165"/>
      <c r="O5" s="165"/>
      <c r="P5" s="165"/>
    </row>
    <row r="6" spans="1:16" ht="16" x14ac:dyDescent="0.2">
      <c r="A6" s="166" t="s">
        <v>190</v>
      </c>
      <c r="B6" s="164" t="s">
        <v>191</v>
      </c>
      <c r="C6" s="167"/>
      <c r="D6" s="168"/>
      <c r="E6" s="168"/>
      <c r="F6" s="168"/>
      <c r="G6" s="168"/>
      <c r="H6" s="168"/>
      <c r="I6" s="168"/>
      <c r="J6" s="168"/>
      <c r="K6" s="168"/>
      <c r="L6" s="168"/>
      <c r="M6" s="168"/>
      <c r="N6" s="168"/>
      <c r="O6" s="168"/>
      <c r="P6" s="168"/>
    </row>
    <row r="7" spans="1:16" ht="16" x14ac:dyDescent="0.2">
      <c r="A7" s="163"/>
      <c r="B7" s="164" t="s">
        <v>192</v>
      </c>
      <c r="C7" s="165"/>
      <c r="D7" s="169">
        <v>493</v>
      </c>
      <c r="E7" s="169">
        <v>493</v>
      </c>
      <c r="F7" s="169">
        <v>490</v>
      </c>
      <c r="G7" s="169">
        <v>493</v>
      </c>
      <c r="H7" s="169">
        <v>490</v>
      </c>
      <c r="I7" s="169">
        <v>495</v>
      </c>
      <c r="J7" s="169">
        <v>493</v>
      </c>
      <c r="K7" s="169">
        <f>(29/30)*M7</f>
        <v>473.66666666666669</v>
      </c>
      <c r="L7" s="169">
        <v>493</v>
      </c>
      <c r="M7" s="169">
        <v>490</v>
      </c>
      <c r="N7" s="169">
        <v>493</v>
      </c>
      <c r="O7" s="169">
        <v>490</v>
      </c>
      <c r="P7" s="170"/>
    </row>
    <row r="8" spans="1:16" ht="16" x14ac:dyDescent="0.2">
      <c r="A8" s="163"/>
      <c r="B8" s="164" t="s">
        <v>193</v>
      </c>
      <c r="C8" s="171"/>
      <c r="D8" s="169">
        <v>248</v>
      </c>
      <c r="E8" s="169">
        <v>248</v>
      </c>
      <c r="F8" s="169">
        <v>240</v>
      </c>
      <c r="G8" s="169">
        <v>248</v>
      </c>
      <c r="H8" s="169">
        <v>240</v>
      </c>
      <c r="I8" s="169">
        <v>248</v>
      </c>
      <c r="J8" s="169">
        <v>248</v>
      </c>
      <c r="K8" s="169">
        <f>(29/30)*M8</f>
        <v>232</v>
      </c>
      <c r="L8" s="169">
        <v>248</v>
      </c>
      <c r="M8" s="169">
        <v>240</v>
      </c>
      <c r="N8" s="169">
        <v>248</v>
      </c>
      <c r="O8" s="169">
        <v>240</v>
      </c>
      <c r="P8" s="170"/>
    </row>
    <row r="9" spans="1:16" ht="16" x14ac:dyDescent="0.2">
      <c r="A9" s="163"/>
      <c r="B9" s="164" t="s">
        <v>194</v>
      </c>
      <c r="C9" s="167"/>
      <c r="D9" s="170">
        <v>47.7</v>
      </c>
      <c r="E9" s="170">
        <v>47.7</v>
      </c>
      <c r="F9" s="170">
        <v>215.8</v>
      </c>
      <c r="G9" s="170">
        <v>47.7</v>
      </c>
      <c r="H9" s="170">
        <v>215.8</v>
      </c>
      <c r="I9" s="170">
        <v>44</v>
      </c>
      <c r="J9" s="170">
        <v>47.7</v>
      </c>
      <c r="K9" s="170">
        <v>125.8</v>
      </c>
      <c r="L9" s="170">
        <v>47.7</v>
      </c>
      <c r="M9" s="170">
        <v>215.8</v>
      </c>
      <c r="N9" s="170">
        <v>47.7</v>
      </c>
      <c r="O9" s="170">
        <v>215.8</v>
      </c>
      <c r="P9" s="170"/>
    </row>
    <row r="10" spans="1:16" ht="12" customHeight="1" x14ac:dyDescent="0.2">
      <c r="A10" s="163"/>
      <c r="B10" s="172"/>
      <c r="C10" s="165"/>
      <c r="D10" s="167"/>
      <c r="E10" s="167"/>
      <c r="F10" s="170"/>
      <c r="G10" s="167"/>
      <c r="H10" s="170"/>
      <c r="I10" s="170"/>
      <c r="J10" s="167"/>
      <c r="K10" s="170"/>
      <c r="L10" s="167"/>
      <c r="M10" s="170"/>
      <c r="N10" s="167"/>
      <c r="O10" s="170"/>
      <c r="P10" s="173"/>
    </row>
    <row r="11" spans="1:16" ht="16" x14ac:dyDescent="0.2">
      <c r="A11" s="166" t="s">
        <v>318</v>
      </c>
      <c r="B11" s="164" t="s">
        <v>191</v>
      </c>
      <c r="C11" s="171"/>
      <c r="D11" s="168"/>
      <c r="E11" s="168"/>
      <c r="F11" s="168"/>
      <c r="G11" s="168"/>
      <c r="H11" s="168"/>
      <c r="I11" s="168"/>
      <c r="J11" s="168"/>
      <c r="K11" s="168"/>
      <c r="L11" s="168"/>
      <c r="M11" s="168"/>
      <c r="N11" s="168"/>
      <c r="O11" s="168"/>
      <c r="P11" s="168"/>
    </row>
    <row r="12" spans="1:16" ht="16" x14ac:dyDescent="0.2">
      <c r="A12" s="163"/>
      <c r="B12" s="164" t="s">
        <v>192</v>
      </c>
      <c r="C12" s="171"/>
      <c r="D12" s="169"/>
      <c r="E12" s="169"/>
      <c r="F12" s="169"/>
      <c r="G12" s="169"/>
      <c r="H12" s="169"/>
      <c r="I12" s="169"/>
      <c r="J12" s="169"/>
      <c r="K12" s="169"/>
      <c r="L12" s="169"/>
      <c r="M12" s="169"/>
      <c r="N12" s="169"/>
      <c r="O12" s="169"/>
      <c r="P12" s="169"/>
    </row>
    <row r="13" spans="1:16" ht="16" x14ac:dyDescent="0.2">
      <c r="A13" s="163"/>
      <c r="B13" s="164" t="s">
        <v>193</v>
      </c>
      <c r="C13" s="171"/>
      <c r="D13" s="169"/>
      <c r="E13" s="169"/>
      <c r="F13" s="169"/>
      <c r="G13" s="169"/>
      <c r="H13" s="169"/>
      <c r="I13" s="169"/>
      <c r="J13" s="169"/>
      <c r="K13" s="169"/>
      <c r="L13" s="169"/>
      <c r="M13" s="169"/>
      <c r="N13" s="169"/>
      <c r="O13" s="169"/>
      <c r="P13" s="170"/>
    </row>
    <row r="14" spans="1:16" ht="16" x14ac:dyDescent="0.2">
      <c r="A14" s="163"/>
      <c r="B14" s="164" t="s">
        <v>194</v>
      </c>
      <c r="C14" s="167"/>
      <c r="D14" s="175" t="s">
        <v>195</v>
      </c>
      <c r="E14" s="175" t="s">
        <v>195</v>
      </c>
      <c r="F14" s="170"/>
      <c r="G14" s="175" t="s">
        <v>195</v>
      </c>
      <c r="H14" s="170"/>
      <c r="I14" s="175" t="s">
        <v>195</v>
      </c>
      <c r="J14" s="175" t="s">
        <v>195</v>
      </c>
      <c r="K14" s="175" t="s">
        <v>195</v>
      </c>
      <c r="L14" s="175" t="s">
        <v>195</v>
      </c>
      <c r="M14" s="170"/>
      <c r="N14" s="175" t="s">
        <v>195</v>
      </c>
      <c r="O14" s="170"/>
      <c r="P14" s="170"/>
    </row>
    <row r="15" spans="1:16" ht="16" x14ac:dyDescent="0.2">
      <c r="A15" s="163"/>
      <c r="B15" s="172"/>
      <c r="C15" s="165"/>
      <c r="D15" s="170"/>
      <c r="E15" s="170"/>
      <c r="F15" s="170"/>
      <c r="G15" s="170"/>
      <c r="H15" s="170"/>
      <c r="I15" s="170"/>
      <c r="J15" s="170"/>
      <c r="K15" s="170"/>
      <c r="L15" s="170"/>
      <c r="M15" s="170"/>
      <c r="N15" s="170"/>
      <c r="O15" s="170"/>
      <c r="P15" s="173"/>
    </row>
    <row r="16" spans="1:16" ht="16" x14ac:dyDescent="0.2">
      <c r="A16" s="166" t="s">
        <v>196</v>
      </c>
      <c r="B16" s="164" t="s">
        <v>191</v>
      </c>
      <c r="C16" s="171"/>
      <c r="D16" s="168"/>
      <c r="E16" s="168"/>
      <c r="F16" s="168"/>
      <c r="G16" s="168"/>
      <c r="H16" s="168"/>
      <c r="I16" s="168"/>
      <c r="J16" s="168"/>
      <c r="K16" s="168"/>
      <c r="L16" s="168"/>
      <c r="M16" s="168"/>
      <c r="N16" s="168"/>
      <c r="O16" s="168"/>
      <c r="P16" s="168"/>
    </row>
    <row r="17" spans="1:16" ht="16" x14ac:dyDescent="0.2">
      <c r="A17" s="163"/>
      <c r="B17" s="164" t="s">
        <v>192</v>
      </c>
      <c r="C17" s="171"/>
      <c r="D17" s="169">
        <v>680</v>
      </c>
      <c r="E17" s="169">
        <v>690</v>
      </c>
      <c r="F17" s="169">
        <v>695</v>
      </c>
      <c r="G17" s="169">
        <v>690</v>
      </c>
      <c r="H17" s="169">
        <v>695</v>
      </c>
      <c r="I17" s="169">
        <v>690</v>
      </c>
      <c r="J17" s="169">
        <v>695</v>
      </c>
      <c r="K17" s="169">
        <v>690</v>
      </c>
      <c r="L17" s="169">
        <v>680</v>
      </c>
      <c r="M17" s="169">
        <v>695</v>
      </c>
      <c r="N17" s="169">
        <v>680</v>
      </c>
      <c r="O17" s="169">
        <v>695</v>
      </c>
      <c r="P17" s="176"/>
    </row>
    <row r="18" spans="1:16" ht="16" x14ac:dyDescent="0.2">
      <c r="A18" s="163"/>
      <c r="B18" s="164" t="s">
        <v>193</v>
      </c>
      <c r="C18" s="171"/>
      <c r="D18" s="174" t="s">
        <v>195</v>
      </c>
      <c r="E18" s="174" t="s">
        <v>195</v>
      </c>
      <c r="F18" s="174" t="s">
        <v>195</v>
      </c>
      <c r="G18" s="174" t="s">
        <v>195</v>
      </c>
      <c r="H18" s="174" t="s">
        <v>195</v>
      </c>
      <c r="I18" s="174" t="s">
        <v>195</v>
      </c>
      <c r="J18" s="174" t="s">
        <v>195</v>
      </c>
      <c r="K18" s="175" t="s">
        <v>195</v>
      </c>
      <c r="L18" s="174" t="s">
        <v>195</v>
      </c>
      <c r="M18" s="174" t="s">
        <v>195</v>
      </c>
      <c r="N18" s="174" t="s">
        <v>195</v>
      </c>
      <c r="O18" s="174" t="s">
        <v>195</v>
      </c>
      <c r="P18" s="177"/>
    </row>
    <row r="19" spans="1:16" ht="16" x14ac:dyDescent="0.2">
      <c r="A19" s="163"/>
      <c r="B19" s="164" t="s">
        <v>194</v>
      </c>
      <c r="C19" s="167"/>
      <c r="D19" s="170">
        <v>29.4</v>
      </c>
      <c r="E19" s="170">
        <v>29.4</v>
      </c>
      <c r="F19" s="170"/>
      <c r="G19" s="170">
        <v>29.4</v>
      </c>
      <c r="H19" s="170"/>
      <c r="I19" s="170">
        <v>83.8</v>
      </c>
      <c r="J19" s="170">
        <v>29.4</v>
      </c>
      <c r="K19" s="170">
        <v>102.6</v>
      </c>
      <c r="L19" s="170">
        <v>29.4</v>
      </c>
      <c r="M19" s="170"/>
      <c r="N19" s="170">
        <v>29.4</v>
      </c>
      <c r="O19" s="170"/>
      <c r="P19" s="170"/>
    </row>
    <row r="20" spans="1:16" ht="16" x14ac:dyDescent="0.2">
      <c r="A20" s="163"/>
      <c r="B20" s="172"/>
      <c r="C20" s="165"/>
      <c r="D20" s="165"/>
      <c r="E20" s="165"/>
      <c r="F20" s="170"/>
      <c r="G20" s="165"/>
      <c r="H20" s="170"/>
      <c r="I20" s="170"/>
      <c r="J20" s="165"/>
      <c r="K20" s="170"/>
      <c r="L20" s="165"/>
      <c r="M20" s="170"/>
      <c r="N20" s="165"/>
      <c r="O20" s="170"/>
      <c r="P20" s="173"/>
    </row>
    <row r="21" spans="1:16" ht="17" x14ac:dyDescent="0.2">
      <c r="A21" s="178" t="s">
        <v>197</v>
      </c>
      <c r="B21" s="179" t="s">
        <v>191</v>
      </c>
      <c r="C21" s="165"/>
      <c r="D21" s="177"/>
      <c r="E21" s="177"/>
      <c r="F21" s="177"/>
      <c r="G21" s="177"/>
      <c r="H21" s="177"/>
      <c r="I21" s="177"/>
      <c r="J21" s="177"/>
      <c r="K21" s="177"/>
      <c r="L21" s="177"/>
      <c r="M21" s="177"/>
      <c r="N21" s="177"/>
      <c r="O21" s="177"/>
      <c r="P21" s="177"/>
    </row>
    <row r="22" spans="1:16" ht="16" x14ac:dyDescent="0.2">
      <c r="A22" s="163"/>
      <c r="B22" s="164" t="s">
        <v>192</v>
      </c>
      <c r="C22" s="180"/>
      <c r="D22" s="170">
        <v>300</v>
      </c>
      <c r="E22" s="170">
        <v>320</v>
      </c>
      <c r="F22" s="170">
        <v>300</v>
      </c>
      <c r="G22" s="170">
        <v>256</v>
      </c>
      <c r="H22" s="170">
        <v>300</v>
      </c>
      <c r="I22" s="170">
        <v>325</v>
      </c>
      <c r="J22" s="170">
        <v>325</v>
      </c>
      <c r="K22" s="169">
        <v>256</v>
      </c>
      <c r="L22" s="170">
        <v>325</v>
      </c>
      <c r="M22" s="170">
        <v>300</v>
      </c>
      <c r="N22" s="170">
        <v>325</v>
      </c>
      <c r="O22" s="170">
        <v>300</v>
      </c>
      <c r="P22" s="170"/>
    </row>
    <row r="23" spans="1:16" ht="16" x14ac:dyDescent="0.2">
      <c r="A23" s="163"/>
      <c r="B23" s="164" t="s">
        <v>193</v>
      </c>
      <c r="C23" s="180"/>
      <c r="D23" s="170">
        <v>248</v>
      </c>
      <c r="E23" s="170">
        <v>240</v>
      </c>
      <c r="F23" s="170">
        <v>240</v>
      </c>
      <c r="G23" s="170">
        <v>248</v>
      </c>
      <c r="H23" s="170">
        <v>248</v>
      </c>
      <c r="I23" s="170">
        <v>248</v>
      </c>
      <c r="J23" s="170">
        <v>248</v>
      </c>
      <c r="K23" s="169">
        <f>(29/30)*M23</f>
        <v>232</v>
      </c>
      <c r="L23" s="170">
        <v>240</v>
      </c>
      <c r="M23" s="170">
        <v>240</v>
      </c>
      <c r="N23" s="170">
        <v>248</v>
      </c>
      <c r="O23" s="170">
        <v>240</v>
      </c>
      <c r="P23" s="170"/>
    </row>
    <row r="24" spans="1:16" ht="16" x14ac:dyDescent="0.2">
      <c r="A24" s="163"/>
      <c r="B24" s="164" t="s">
        <v>194</v>
      </c>
      <c r="C24" s="165"/>
      <c r="D24" s="177">
        <v>135.6</v>
      </c>
      <c r="E24" s="177">
        <v>135.6</v>
      </c>
      <c r="F24" s="170"/>
      <c r="G24" s="177">
        <v>135.6</v>
      </c>
      <c r="H24" s="170"/>
      <c r="I24" s="175" t="s">
        <v>195</v>
      </c>
      <c r="J24" s="177">
        <v>135.6</v>
      </c>
      <c r="K24" s="175" t="s">
        <v>195</v>
      </c>
      <c r="L24" s="177">
        <v>135.6</v>
      </c>
      <c r="M24" s="170"/>
      <c r="N24" s="177">
        <v>135.6</v>
      </c>
      <c r="O24" s="170"/>
      <c r="P24" s="170"/>
    </row>
    <row r="25" spans="1:16" ht="16" x14ac:dyDescent="0.2">
      <c r="A25" s="163"/>
      <c r="B25" s="172"/>
      <c r="C25" s="165"/>
      <c r="D25" s="165"/>
      <c r="E25" s="165"/>
      <c r="F25" s="170"/>
      <c r="G25" s="165"/>
      <c r="H25" s="170"/>
      <c r="I25" s="170"/>
      <c r="J25" s="165"/>
      <c r="K25" s="170"/>
      <c r="L25" s="165"/>
      <c r="M25" s="170"/>
      <c r="N25" s="165"/>
      <c r="O25" s="170"/>
      <c r="P25" s="173"/>
    </row>
    <row r="26" spans="1:16" ht="16" x14ac:dyDescent="0.2">
      <c r="A26" s="166" t="s">
        <v>198</v>
      </c>
      <c r="B26" s="164" t="s">
        <v>191</v>
      </c>
      <c r="C26" s="171"/>
      <c r="D26" s="168"/>
      <c r="E26" s="168"/>
      <c r="F26" s="168"/>
      <c r="G26" s="168"/>
      <c r="H26" s="168"/>
      <c r="I26" s="168"/>
      <c r="J26" s="168"/>
      <c r="K26" s="168"/>
      <c r="L26" s="168"/>
      <c r="M26" s="168"/>
      <c r="N26" s="168"/>
      <c r="O26" s="168"/>
      <c r="P26" s="168"/>
    </row>
    <row r="27" spans="1:16" ht="16" x14ac:dyDescent="0.2">
      <c r="A27" s="163"/>
      <c r="B27" s="164" t="s">
        <v>192</v>
      </c>
      <c r="C27" s="171"/>
      <c r="D27" s="169">
        <v>140</v>
      </c>
      <c r="E27" s="169">
        <v>140</v>
      </c>
      <c r="F27" s="169">
        <v>168</v>
      </c>
      <c r="G27" s="169">
        <v>140</v>
      </c>
      <c r="H27" s="169">
        <v>168</v>
      </c>
      <c r="I27" s="169">
        <v>35</v>
      </c>
      <c r="J27" s="169">
        <v>140</v>
      </c>
      <c r="K27" s="169">
        <f>(29/30)*M27</f>
        <v>162.4</v>
      </c>
      <c r="L27" s="169">
        <v>140</v>
      </c>
      <c r="M27" s="169">
        <v>168</v>
      </c>
      <c r="N27" s="169">
        <v>140</v>
      </c>
      <c r="O27" s="169">
        <v>168</v>
      </c>
      <c r="P27" s="170"/>
    </row>
    <row r="28" spans="1:16" ht="16" x14ac:dyDescent="0.2">
      <c r="A28" s="163"/>
      <c r="B28" s="164" t="s">
        <v>193</v>
      </c>
      <c r="C28" s="171"/>
      <c r="D28" s="169">
        <v>248</v>
      </c>
      <c r="E28" s="169">
        <v>248</v>
      </c>
      <c r="F28" s="169">
        <v>240</v>
      </c>
      <c r="G28" s="169">
        <v>248</v>
      </c>
      <c r="H28" s="169">
        <v>240</v>
      </c>
      <c r="I28" s="169">
        <v>240</v>
      </c>
      <c r="J28" s="169">
        <v>248</v>
      </c>
      <c r="K28" s="169">
        <f>(29/30)*M28</f>
        <v>232</v>
      </c>
      <c r="L28" s="169">
        <v>248</v>
      </c>
      <c r="M28" s="169">
        <v>240</v>
      </c>
      <c r="N28" s="169">
        <v>248</v>
      </c>
      <c r="O28" s="169">
        <v>240</v>
      </c>
      <c r="P28" s="170"/>
    </row>
    <row r="29" spans="1:16" ht="16" x14ac:dyDescent="0.2">
      <c r="A29" s="163"/>
      <c r="B29" s="164" t="s">
        <v>194</v>
      </c>
      <c r="C29" s="167"/>
      <c r="D29" s="170">
        <v>89</v>
      </c>
      <c r="E29" s="170">
        <v>89</v>
      </c>
      <c r="F29" s="170">
        <v>251.5</v>
      </c>
      <c r="G29" s="170">
        <v>89</v>
      </c>
      <c r="H29" s="170">
        <v>251.5</v>
      </c>
      <c r="I29" s="170">
        <v>63.5</v>
      </c>
      <c r="J29" s="170">
        <v>89</v>
      </c>
      <c r="K29" s="170">
        <v>85.2</v>
      </c>
      <c r="L29" s="170">
        <v>89</v>
      </c>
      <c r="M29" s="170">
        <v>251.5</v>
      </c>
      <c r="N29" s="170">
        <v>89</v>
      </c>
      <c r="O29" s="170">
        <v>251.5</v>
      </c>
      <c r="P29" s="170"/>
    </row>
    <row r="30" spans="1:16" ht="16" x14ac:dyDescent="0.2">
      <c r="A30" s="163"/>
      <c r="B30" s="172"/>
      <c r="C30" s="165"/>
      <c r="D30" s="167"/>
      <c r="E30" s="167"/>
      <c r="F30" s="170"/>
      <c r="G30" s="167"/>
      <c r="H30" s="170"/>
      <c r="I30" s="170"/>
      <c r="J30" s="167"/>
      <c r="K30" s="170"/>
      <c r="L30" s="167"/>
      <c r="M30" s="170"/>
      <c r="N30" s="167"/>
      <c r="O30" s="170"/>
      <c r="P30" s="173"/>
    </row>
    <row r="31" spans="1:16" ht="16" x14ac:dyDescent="0.2">
      <c r="A31" s="166" t="s">
        <v>322</v>
      </c>
      <c r="B31" s="164" t="s">
        <v>191</v>
      </c>
      <c r="C31" s="171"/>
      <c r="D31" s="168"/>
      <c r="E31" s="168"/>
      <c r="F31" s="168"/>
      <c r="G31" s="168"/>
      <c r="H31" s="168"/>
      <c r="I31" s="168"/>
      <c r="J31" s="168"/>
      <c r="K31" s="168"/>
      <c r="L31" s="168"/>
      <c r="M31" s="168"/>
      <c r="N31" s="168"/>
      <c r="O31" s="168"/>
      <c r="P31" s="168"/>
    </row>
    <row r="32" spans="1:16" ht="16" x14ac:dyDescent="0.2">
      <c r="A32" s="163"/>
      <c r="B32" s="164" t="s">
        <v>192</v>
      </c>
      <c r="C32" s="171"/>
      <c r="D32" s="169">
        <v>850</v>
      </c>
      <c r="E32" s="169">
        <v>850</v>
      </c>
      <c r="F32" s="169">
        <v>825</v>
      </c>
      <c r="G32" s="169">
        <v>859</v>
      </c>
      <c r="H32" s="169">
        <v>825</v>
      </c>
      <c r="I32" s="169">
        <v>850</v>
      </c>
      <c r="J32" s="169">
        <v>850</v>
      </c>
      <c r="K32" s="169">
        <v>800</v>
      </c>
      <c r="L32" s="169">
        <v>850</v>
      </c>
      <c r="M32" s="169">
        <v>825</v>
      </c>
      <c r="N32" s="169">
        <v>850</v>
      </c>
      <c r="O32" s="169">
        <v>825</v>
      </c>
      <c r="P32" s="169"/>
    </row>
    <row r="33" spans="1:16" ht="16" x14ac:dyDescent="0.2">
      <c r="A33" s="163"/>
      <c r="B33" s="164" t="s">
        <v>193</v>
      </c>
      <c r="C33" s="171"/>
      <c r="D33" s="169"/>
      <c r="E33" s="169"/>
      <c r="F33" s="169"/>
      <c r="G33" s="169"/>
      <c r="H33" s="169"/>
      <c r="I33" s="169"/>
      <c r="J33" s="169"/>
      <c r="L33" s="169"/>
      <c r="M33" s="169"/>
      <c r="N33" s="169"/>
      <c r="O33" s="169"/>
      <c r="P33" s="169"/>
    </row>
    <row r="34" spans="1:16" ht="16" x14ac:dyDescent="0.2">
      <c r="A34" s="163"/>
      <c r="B34" s="164" t="s">
        <v>194</v>
      </c>
      <c r="C34" s="167"/>
      <c r="D34" s="175" t="s">
        <v>195</v>
      </c>
      <c r="E34" s="175" t="s">
        <v>195</v>
      </c>
      <c r="F34" s="170">
        <v>240</v>
      </c>
      <c r="G34" s="175" t="s">
        <v>195</v>
      </c>
      <c r="H34" s="170">
        <v>240</v>
      </c>
      <c r="I34" s="170">
        <v>42</v>
      </c>
      <c r="J34" s="175" t="s">
        <v>195</v>
      </c>
      <c r="K34" s="170">
        <v>132</v>
      </c>
      <c r="L34" s="175" t="s">
        <v>195</v>
      </c>
      <c r="M34" s="170">
        <v>240</v>
      </c>
      <c r="N34" s="175" t="s">
        <v>195</v>
      </c>
      <c r="O34" s="170">
        <v>240</v>
      </c>
      <c r="P34" s="170"/>
    </row>
    <row r="35" spans="1:16" ht="16" x14ac:dyDescent="0.2">
      <c r="A35" s="308" t="s">
        <v>199</v>
      </c>
      <c r="B35" s="172"/>
      <c r="C35" s="165"/>
      <c r="D35" s="167"/>
      <c r="E35" s="167"/>
      <c r="F35" s="170"/>
      <c r="G35" s="167"/>
      <c r="H35" s="170"/>
      <c r="I35" s="170"/>
      <c r="J35" s="167"/>
      <c r="K35" s="170"/>
      <c r="L35" s="167"/>
      <c r="M35" s="170"/>
      <c r="N35" s="167"/>
      <c r="O35" s="170"/>
      <c r="P35" s="173"/>
    </row>
    <row r="36" spans="1:16" ht="16" x14ac:dyDescent="0.2">
      <c r="A36" s="166" t="s">
        <v>200</v>
      </c>
      <c r="B36" s="164" t="s">
        <v>191</v>
      </c>
      <c r="C36" s="171"/>
      <c r="D36" s="168"/>
      <c r="E36" s="168"/>
      <c r="F36" s="168"/>
      <c r="G36" s="168"/>
      <c r="H36" s="168"/>
      <c r="I36" s="168"/>
      <c r="J36" s="168"/>
      <c r="K36" s="168"/>
      <c r="L36" s="168"/>
      <c r="M36" s="168"/>
      <c r="N36" s="168"/>
      <c r="O36" s="168"/>
      <c r="P36" s="168"/>
    </row>
    <row r="37" spans="1:16" ht="16" x14ac:dyDescent="0.2">
      <c r="A37" s="163"/>
      <c r="B37" s="164" t="s">
        <v>192</v>
      </c>
      <c r="C37" s="171"/>
      <c r="D37" s="169">
        <v>364</v>
      </c>
      <c r="E37" s="169">
        <v>364</v>
      </c>
      <c r="F37" s="169">
        <v>359</v>
      </c>
      <c r="G37" s="169">
        <v>364</v>
      </c>
      <c r="H37" s="169">
        <v>359</v>
      </c>
      <c r="I37" s="169">
        <v>360</v>
      </c>
      <c r="J37" s="169">
        <v>364</v>
      </c>
      <c r="K37" s="169">
        <f>(29/30)*M37</f>
        <v>347.03333333333336</v>
      </c>
      <c r="L37" s="169">
        <v>364</v>
      </c>
      <c r="M37" s="169">
        <v>359</v>
      </c>
      <c r="N37" s="169">
        <v>364</v>
      </c>
      <c r="O37" s="169">
        <v>359</v>
      </c>
      <c r="P37" s="169"/>
    </row>
    <row r="38" spans="1:16" ht="16" x14ac:dyDescent="0.2">
      <c r="A38" s="163"/>
      <c r="B38" s="164" t="s">
        <v>193</v>
      </c>
      <c r="C38" s="171"/>
      <c r="D38" s="169">
        <v>248</v>
      </c>
      <c r="E38" s="169">
        <v>248</v>
      </c>
      <c r="F38" s="169">
        <v>240</v>
      </c>
      <c r="G38" s="169">
        <v>248</v>
      </c>
      <c r="H38" s="169">
        <v>240</v>
      </c>
      <c r="I38" s="169">
        <v>248</v>
      </c>
      <c r="J38" s="169">
        <v>248</v>
      </c>
      <c r="K38" s="169">
        <f>(29/30)*M38</f>
        <v>232</v>
      </c>
      <c r="L38" s="169">
        <v>248</v>
      </c>
      <c r="M38" s="169">
        <v>240</v>
      </c>
      <c r="N38" s="169">
        <v>248</v>
      </c>
      <c r="O38" s="169">
        <v>240</v>
      </c>
      <c r="P38" s="169"/>
    </row>
    <row r="39" spans="1:16" ht="16" x14ac:dyDescent="0.2">
      <c r="A39" s="163"/>
      <c r="B39" s="164" t="s">
        <v>194</v>
      </c>
      <c r="C39" s="181"/>
      <c r="D39" s="175" t="s">
        <v>195</v>
      </c>
      <c r="E39" s="175" t="s">
        <v>195</v>
      </c>
      <c r="F39" s="170">
        <v>83.4</v>
      </c>
      <c r="G39" s="175" t="s">
        <v>195</v>
      </c>
      <c r="H39" s="170">
        <v>83.4</v>
      </c>
      <c r="I39" s="175" t="s">
        <v>195</v>
      </c>
      <c r="J39" s="175" t="s">
        <v>195</v>
      </c>
      <c r="K39" s="170">
        <v>22.4</v>
      </c>
      <c r="L39" s="175" t="s">
        <v>195</v>
      </c>
      <c r="M39" s="170">
        <v>83.4</v>
      </c>
      <c r="N39" s="175" t="s">
        <v>195</v>
      </c>
      <c r="O39" s="170">
        <v>83.4</v>
      </c>
      <c r="P39" s="170"/>
    </row>
    <row r="40" spans="1:16" ht="16" x14ac:dyDescent="0.2">
      <c r="A40" s="163"/>
      <c r="B40" s="172"/>
      <c r="C40" s="165"/>
      <c r="D40" s="167"/>
      <c r="E40" s="167"/>
      <c r="F40" s="170"/>
      <c r="G40" s="167"/>
      <c r="H40" s="170"/>
      <c r="I40" s="170"/>
      <c r="J40" s="167"/>
      <c r="K40" s="170"/>
      <c r="L40" s="167"/>
      <c r="M40" s="170"/>
      <c r="N40" s="167"/>
      <c r="O40" s="170"/>
      <c r="P40" s="173"/>
    </row>
    <row r="41" spans="1:16" ht="16" x14ac:dyDescent="0.2">
      <c r="A41" s="166" t="s">
        <v>324</v>
      </c>
      <c r="B41" s="164" t="s">
        <v>191</v>
      </c>
      <c r="C41" s="171"/>
      <c r="D41" s="168"/>
      <c r="E41" s="168"/>
      <c r="F41" s="168"/>
      <c r="G41" s="168"/>
      <c r="H41" s="168"/>
      <c r="I41" s="168"/>
      <c r="J41" s="168"/>
      <c r="K41" s="168"/>
      <c r="L41" s="168"/>
      <c r="M41" s="168"/>
      <c r="N41" s="168"/>
      <c r="O41" s="168"/>
      <c r="P41" s="168"/>
    </row>
    <row r="42" spans="1:16" ht="16" x14ac:dyDescent="0.2">
      <c r="A42" s="163"/>
      <c r="B42" s="164" t="s">
        <v>192</v>
      </c>
      <c r="C42" s="171"/>
      <c r="D42" s="169">
        <v>208</v>
      </c>
      <c r="E42" s="169">
        <v>208</v>
      </c>
      <c r="F42" s="169">
        <v>312</v>
      </c>
      <c r="G42" s="169">
        <v>208</v>
      </c>
      <c r="H42" s="169">
        <v>312</v>
      </c>
      <c r="I42" s="169">
        <v>100</v>
      </c>
      <c r="J42" s="169">
        <v>260</v>
      </c>
      <c r="K42" s="169">
        <f>(29/30)*M42</f>
        <v>301.60000000000002</v>
      </c>
      <c r="L42" s="169">
        <v>208</v>
      </c>
      <c r="M42" s="169">
        <v>312</v>
      </c>
      <c r="N42" s="169">
        <v>208</v>
      </c>
      <c r="O42" s="169">
        <v>312</v>
      </c>
      <c r="P42" s="169"/>
    </row>
    <row r="43" spans="1:16" ht="16" x14ac:dyDescent="0.2">
      <c r="A43" s="163"/>
      <c r="B43" s="164" t="s">
        <v>193</v>
      </c>
      <c r="C43" s="171"/>
      <c r="D43" s="379">
        <v>160</v>
      </c>
      <c r="E43" s="379">
        <v>160</v>
      </c>
      <c r="F43" s="379">
        <v>160</v>
      </c>
      <c r="G43" s="379">
        <v>160</v>
      </c>
      <c r="H43" s="379">
        <v>160</v>
      </c>
      <c r="I43" s="379">
        <v>160</v>
      </c>
      <c r="J43" s="379">
        <v>160</v>
      </c>
      <c r="K43" s="379">
        <v>160</v>
      </c>
      <c r="L43" s="379">
        <v>160</v>
      </c>
      <c r="M43" s="379">
        <v>160</v>
      </c>
      <c r="N43" s="379">
        <v>160</v>
      </c>
      <c r="O43" s="379">
        <v>160</v>
      </c>
      <c r="P43" s="182"/>
    </row>
    <row r="44" spans="1:16" ht="16" x14ac:dyDescent="0.2">
      <c r="A44" s="163"/>
      <c r="B44" s="164" t="s">
        <v>194</v>
      </c>
      <c r="C44" s="167"/>
      <c r="D44" s="170">
        <v>100</v>
      </c>
      <c r="E44" s="170">
        <v>0</v>
      </c>
      <c r="F44" s="170">
        <v>88</v>
      </c>
      <c r="G44" s="170">
        <v>0</v>
      </c>
      <c r="H44" s="170">
        <v>100</v>
      </c>
      <c r="I44" s="170">
        <v>0</v>
      </c>
      <c r="J44" s="170">
        <v>88</v>
      </c>
      <c r="K44" s="170">
        <v>0</v>
      </c>
      <c r="L44" s="170">
        <v>100</v>
      </c>
      <c r="M44" s="170">
        <v>0</v>
      </c>
      <c r="N44" s="170">
        <v>88</v>
      </c>
      <c r="O44" s="170">
        <v>0</v>
      </c>
      <c r="P44" s="170"/>
    </row>
    <row r="45" spans="1:16" ht="16" x14ac:dyDescent="0.2">
      <c r="A45" s="163"/>
      <c r="B45" s="172"/>
      <c r="C45" s="165"/>
      <c r="D45" s="167"/>
      <c r="E45" s="167"/>
      <c r="F45" s="170"/>
      <c r="G45" s="167"/>
      <c r="H45" s="170"/>
      <c r="I45" s="170"/>
      <c r="J45" s="167"/>
      <c r="K45" s="170"/>
      <c r="L45" s="167"/>
      <c r="M45" s="170"/>
      <c r="N45" s="167"/>
      <c r="O45" s="170"/>
      <c r="P45" s="173"/>
    </row>
    <row r="46" spans="1:16" ht="16" x14ac:dyDescent="0.2">
      <c r="A46" s="166" t="s">
        <v>201</v>
      </c>
      <c r="B46" s="164" t="s">
        <v>191</v>
      </c>
      <c r="C46" s="171"/>
      <c r="D46" s="168"/>
      <c r="E46" s="168"/>
      <c r="F46" s="168"/>
      <c r="G46" s="168"/>
      <c r="H46" s="168"/>
      <c r="I46" s="168"/>
      <c r="J46" s="168"/>
      <c r="K46" s="168"/>
      <c r="L46" s="168"/>
      <c r="M46" s="168"/>
      <c r="N46" s="168"/>
      <c r="O46" s="168"/>
      <c r="P46" s="168"/>
    </row>
    <row r="47" spans="1:16" ht="16" x14ac:dyDescent="0.2">
      <c r="A47" s="163"/>
      <c r="B47" s="164" t="s">
        <v>202</v>
      </c>
      <c r="C47" s="171"/>
      <c r="D47" s="169">
        <v>757</v>
      </c>
      <c r="E47" s="169">
        <v>757</v>
      </c>
      <c r="F47" s="169">
        <v>724</v>
      </c>
      <c r="G47" s="169">
        <v>757</v>
      </c>
      <c r="H47" s="169">
        <v>724</v>
      </c>
      <c r="I47" s="169">
        <v>700</v>
      </c>
      <c r="J47" s="169">
        <v>757</v>
      </c>
      <c r="K47" s="169">
        <v>700</v>
      </c>
      <c r="L47" s="169">
        <v>757</v>
      </c>
      <c r="M47" s="169">
        <v>724</v>
      </c>
      <c r="N47" s="169">
        <v>757</v>
      </c>
      <c r="O47" s="169">
        <v>724</v>
      </c>
      <c r="P47" s="169"/>
    </row>
    <row r="48" spans="1:16" ht="16" x14ac:dyDescent="0.2">
      <c r="A48" s="163"/>
      <c r="B48" s="164" t="s">
        <v>194</v>
      </c>
      <c r="C48" s="167"/>
      <c r="D48" s="170">
        <v>250</v>
      </c>
      <c r="E48" s="170">
        <v>250</v>
      </c>
      <c r="F48" s="170">
        <v>134</v>
      </c>
      <c r="G48" s="170">
        <v>250</v>
      </c>
      <c r="H48" s="170">
        <v>134</v>
      </c>
      <c r="I48" s="170">
        <v>380.5</v>
      </c>
      <c r="J48" s="170">
        <v>250</v>
      </c>
      <c r="K48" s="169">
        <f>(14/15)*L48</f>
        <v>233.33333333333334</v>
      </c>
      <c r="L48" s="170">
        <v>250</v>
      </c>
      <c r="M48" s="170">
        <v>134</v>
      </c>
      <c r="N48" s="170">
        <v>250</v>
      </c>
      <c r="O48" s="170">
        <v>134</v>
      </c>
      <c r="P48" s="170"/>
    </row>
    <row r="49" spans="1:16" ht="16" x14ac:dyDescent="0.2">
      <c r="A49" s="163"/>
      <c r="B49" s="172"/>
      <c r="C49" s="165"/>
      <c r="D49" s="167"/>
      <c r="E49" s="167"/>
      <c r="F49" s="170"/>
      <c r="G49" s="167"/>
      <c r="H49" s="170"/>
      <c r="I49" s="170"/>
      <c r="J49" s="167"/>
      <c r="K49" s="170"/>
      <c r="L49" s="167"/>
      <c r="M49" s="170"/>
      <c r="N49" s="167"/>
      <c r="O49" s="170"/>
      <c r="P49" s="173"/>
    </row>
    <row r="50" spans="1:16" ht="16" x14ac:dyDescent="0.2">
      <c r="A50" s="166"/>
      <c r="B50" s="164" t="s">
        <v>191</v>
      </c>
      <c r="C50" s="171"/>
      <c r="D50" s="168">
        <v>0</v>
      </c>
      <c r="E50" s="168">
        <v>0</v>
      </c>
      <c r="F50" s="168">
        <v>0</v>
      </c>
      <c r="G50" s="168">
        <v>0</v>
      </c>
      <c r="H50" s="168">
        <v>0</v>
      </c>
      <c r="I50" s="168">
        <v>0</v>
      </c>
      <c r="J50" s="168">
        <v>0</v>
      </c>
      <c r="K50" s="168">
        <v>0</v>
      </c>
      <c r="L50" s="168">
        <v>0</v>
      </c>
      <c r="M50" s="168">
        <v>0</v>
      </c>
      <c r="N50" s="168">
        <v>0</v>
      </c>
      <c r="O50" s="168">
        <v>0</v>
      </c>
      <c r="P50" s="168"/>
    </row>
    <row r="51" spans="1:16" ht="16" x14ac:dyDescent="0.2">
      <c r="A51" s="163"/>
      <c r="B51" s="164" t="s">
        <v>192</v>
      </c>
      <c r="C51" s="171"/>
      <c r="D51" s="169"/>
      <c r="E51" s="169"/>
      <c r="F51" s="169"/>
      <c r="G51" s="169"/>
      <c r="H51" s="169"/>
      <c r="I51" s="169"/>
      <c r="J51" s="169"/>
      <c r="K51" s="169"/>
      <c r="L51" s="169"/>
      <c r="M51" s="169"/>
      <c r="N51" s="169"/>
      <c r="O51" s="169"/>
      <c r="P51" s="169"/>
    </row>
    <row r="52" spans="1:16" ht="16" x14ac:dyDescent="0.2">
      <c r="A52" s="163"/>
      <c r="B52" s="164" t="s">
        <v>193</v>
      </c>
      <c r="C52" s="171"/>
      <c r="D52" s="169"/>
      <c r="E52" s="169"/>
      <c r="F52" s="169"/>
      <c r="G52" s="169"/>
      <c r="H52" s="169"/>
      <c r="I52" s="169"/>
      <c r="J52" s="169"/>
      <c r="K52" s="169"/>
      <c r="L52" s="169"/>
      <c r="M52" s="169"/>
      <c r="N52" s="169"/>
      <c r="O52" s="169"/>
      <c r="P52" s="169"/>
    </row>
    <row r="53" spans="1:16" ht="16" x14ac:dyDescent="0.2">
      <c r="A53" s="163"/>
      <c r="B53" s="164" t="s">
        <v>194</v>
      </c>
      <c r="C53" s="167"/>
      <c r="D53" s="175" t="s">
        <v>195</v>
      </c>
      <c r="E53" s="175" t="s">
        <v>195</v>
      </c>
      <c r="F53" s="170"/>
      <c r="G53" s="175" t="s">
        <v>195</v>
      </c>
      <c r="H53" s="170"/>
      <c r="I53" s="170"/>
      <c r="J53" s="175"/>
      <c r="K53" s="170"/>
      <c r="L53" s="175" t="s">
        <v>195</v>
      </c>
      <c r="M53" s="170"/>
      <c r="N53" s="175" t="s">
        <v>195</v>
      </c>
      <c r="O53" s="170"/>
      <c r="P53" s="170"/>
    </row>
    <row r="54" spans="1:16" ht="16" x14ac:dyDescent="0.2">
      <c r="A54" s="163"/>
      <c r="B54" s="172"/>
      <c r="C54" s="165"/>
      <c r="D54" s="167"/>
      <c r="E54" s="167"/>
      <c r="F54" s="170"/>
      <c r="G54" s="167"/>
      <c r="H54" s="170"/>
      <c r="I54" s="170"/>
      <c r="J54" s="167"/>
      <c r="K54" s="170"/>
      <c r="L54" s="167"/>
      <c r="M54" s="170"/>
      <c r="N54" s="167"/>
      <c r="O54" s="170"/>
      <c r="P54" s="173"/>
    </row>
    <row r="55" spans="1:16" ht="16" x14ac:dyDescent="0.2">
      <c r="A55" s="166" t="s">
        <v>204</v>
      </c>
      <c r="B55" s="164" t="s">
        <v>191</v>
      </c>
      <c r="C55" s="171"/>
      <c r="D55" s="168"/>
      <c r="E55" s="168"/>
      <c r="F55" s="168"/>
      <c r="G55" s="168"/>
      <c r="H55" s="168"/>
      <c r="I55" s="168"/>
      <c r="J55" s="168"/>
      <c r="K55" s="168"/>
      <c r="L55" s="168"/>
      <c r="M55" s="168"/>
      <c r="N55" s="168"/>
      <c r="O55" s="168"/>
      <c r="P55" s="168"/>
    </row>
    <row r="56" spans="1:16" ht="16" x14ac:dyDescent="0.2">
      <c r="A56" s="163"/>
      <c r="B56" s="164" t="s">
        <v>192</v>
      </c>
      <c r="C56" s="171"/>
      <c r="D56" s="169">
        <v>400</v>
      </c>
      <c r="E56" s="169">
        <v>400</v>
      </c>
      <c r="F56" s="169">
        <v>400</v>
      </c>
      <c r="G56" s="169">
        <v>400</v>
      </c>
      <c r="H56" s="169">
        <v>400</v>
      </c>
      <c r="I56" s="169">
        <v>400</v>
      </c>
      <c r="J56" s="169">
        <v>400</v>
      </c>
      <c r="K56" s="169">
        <v>400</v>
      </c>
      <c r="L56" s="169">
        <v>400</v>
      </c>
      <c r="M56" s="169">
        <v>400</v>
      </c>
      <c r="N56" s="169">
        <v>400</v>
      </c>
      <c r="O56" s="169">
        <v>400</v>
      </c>
      <c r="P56" s="169"/>
    </row>
    <row r="57" spans="1:16" ht="16" x14ac:dyDescent="0.2">
      <c r="A57" s="163"/>
      <c r="B57" s="164" t="s">
        <v>193</v>
      </c>
      <c r="C57" s="171"/>
      <c r="D57" s="170">
        <v>248</v>
      </c>
      <c r="E57" s="170">
        <v>248</v>
      </c>
      <c r="F57" s="170">
        <v>240</v>
      </c>
      <c r="G57" s="170">
        <v>248</v>
      </c>
      <c r="H57" s="170">
        <v>240</v>
      </c>
      <c r="I57" s="170">
        <v>248</v>
      </c>
      <c r="J57" s="170">
        <v>248</v>
      </c>
      <c r="K57" s="170">
        <v>220</v>
      </c>
      <c r="L57" s="170">
        <v>248</v>
      </c>
      <c r="M57" s="170">
        <v>240</v>
      </c>
      <c r="N57" s="170">
        <v>248</v>
      </c>
      <c r="O57" s="170">
        <v>240</v>
      </c>
      <c r="P57" s="170"/>
    </row>
    <row r="58" spans="1:16" ht="16" x14ac:dyDescent="0.2">
      <c r="A58" s="163"/>
      <c r="B58" s="164" t="s">
        <v>194</v>
      </c>
      <c r="C58" s="167"/>
      <c r="D58" s="170"/>
      <c r="E58" s="170"/>
      <c r="F58" s="170"/>
      <c r="G58" s="170"/>
      <c r="H58" s="170"/>
      <c r="I58" s="170"/>
      <c r="J58" s="170"/>
      <c r="K58" s="170"/>
      <c r="L58" s="170"/>
      <c r="M58" s="170"/>
      <c r="N58" s="170"/>
      <c r="O58" s="170"/>
      <c r="P58" s="170"/>
    </row>
    <row r="59" spans="1:16" ht="16" x14ac:dyDescent="0.2">
      <c r="A59" s="163"/>
      <c r="B59" s="172"/>
      <c r="C59" s="165"/>
      <c r="D59" s="167"/>
      <c r="E59" s="167"/>
      <c r="F59" s="170"/>
      <c r="G59" s="167"/>
      <c r="H59" s="170"/>
      <c r="I59" s="170"/>
      <c r="J59" s="167"/>
      <c r="K59" s="170"/>
      <c r="L59" s="167"/>
      <c r="M59" s="170"/>
      <c r="N59" s="167"/>
      <c r="O59" s="170"/>
      <c r="P59" s="173"/>
    </row>
    <row r="60" spans="1:16" ht="16" x14ac:dyDescent="0.2">
      <c r="A60" s="166" t="s">
        <v>205</v>
      </c>
      <c r="B60" s="164" t="s">
        <v>191</v>
      </c>
      <c r="C60" s="171"/>
      <c r="D60" s="168"/>
      <c r="E60" s="168"/>
      <c r="F60" s="168"/>
      <c r="G60" s="168"/>
      <c r="H60" s="168"/>
      <c r="I60" s="168"/>
      <c r="J60" s="168"/>
      <c r="K60" s="168"/>
      <c r="L60" s="168"/>
      <c r="M60" s="168"/>
      <c r="N60" s="168"/>
      <c r="O60" s="168"/>
      <c r="P60" s="168"/>
    </row>
    <row r="61" spans="1:16" ht="16" x14ac:dyDescent="0.2">
      <c r="A61" s="163"/>
      <c r="B61" s="164" t="s">
        <v>192</v>
      </c>
      <c r="C61" s="171"/>
      <c r="D61" s="169">
        <v>656</v>
      </c>
      <c r="E61" s="169">
        <v>656</v>
      </c>
      <c r="F61" s="169">
        <v>633</v>
      </c>
      <c r="G61" s="169">
        <v>656</v>
      </c>
      <c r="H61" s="169">
        <v>633</v>
      </c>
      <c r="I61" s="169">
        <v>650</v>
      </c>
      <c r="J61" s="169">
        <v>656</v>
      </c>
      <c r="K61" s="169">
        <f>(29/30)*M61</f>
        <v>611.9</v>
      </c>
      <c r="L61" s="169">
        <v>656</v>
      </c>
      <c r="M61" s="169">
        <v>633</v>
      </c>
      <c r="N61" s="169">
        <v>656</v>
      </c>
      <c r="O61" s="169">
        <v>633</v>
      </c>
      <c r="P61" s="170"/>
    </row>
    <row r="62" spans="1:16" ht="16" x14ac:dyDescent="0.2">
      <c r="A62" s="380"/>
      <c r="B62" s="381" t="s">
        <v>433</v>
      </c>
      <c r="C62" s="382"/>
      <c r="D62" s="383"/>
      <c r="E62" s="383"/>
      <c r="F62" s="383">
        <v>181.4</v>
      </c>
      <c r="G62" s="383"/>
      <c r="H62" s="383">
        <v>181.4</v>
      </c>
      <c r="I62" s="383">
        <v>6.6</v>
      </c>
      <c r="J62" s="383"/>
      <c r="K62" s="383"/>
      <c r="L62" s="383"/>
      <c r="M62" s="383">
        <v>181.4</v>
      </c>
      <c r="N62" s="383"/>
      <c r="O62" s="383">
        <v>181.4</v>
      </c>
      <c r="P62" s="170"/>
    </row>
    <row r="63" spans="1:16" ht="16" x14ac:dyDescent="0.2">
      <c r="A63" s="163"/>
      <c r="B63" s="164" t="s">
        <v>194</v>
      </c>
      <c r="C63" s="167"/>
      <c r="D63" s="170"/>
      <c r="E63" s="170"/>
      <c r="F63" s="170"/>
      <c r="G63" s="170"/>
      <c r="H63" s="170"/>
      <c r="I63" s="170"/>
      <c r="J63" s="170"/>
      <c r="K63" s="170"/>
      <c r="L63" s="170"/>
      <c r="M63" s="170"/>
      <c r="N63" s="170"/>
      <c r="O63" s="170"/>
      <c r="P63" s="170"/>
    </row>
    <row r="64" spans="1:16" ht="16" x14ac:dyDescent="0.2">
      <c r="A64" s="163"/>
      <c r="B64" s="183"/>
      <c r="C64" s="165"/>
      <c r="D64" s="165"/>
      <c r="E64" s="165"/>
      <c r="F64" s="165"/>
      <c r="G64" s="165"/>
      <c r="H64" s="165"/>
      <c r="I64" s="165"/>
      <c r="J64" s="165"/>
      <c r="K64" s="165"/>
      <c r="L64" s="165"/>
      <c r="M64" s="165"/>
      <c r="N64" s="165"/>
      <c r="O64" s="165"/>
      <c r="P64" s="165"/>
    </row>
    <row r="65" spans="1:16" ht="16" x14ac:dyDescent="0.2">
      <c r="A65" s="166" t="s">
        <v>207</v>
      </c>
      <c r="B65" s="164" t="s">
        <v>191</v>
      </c>
      <c r="C65" s="171"/>
      <c r="D65" s="168"/>
      <c r="E65" s="168"/>
      <c r="F65" s="168"/>
      <c r="G65" s="168"/>
      <c r="H65" s="168"/>
      <c r="I65" s="168"/>
      <c r="J65" s="168"/>
      <c r="K65" s="168"/>
      <c r="L65" s="168"/>
      <c r="M65" s="168"/>
      <c r="N65" s="168"/>
      <c r="O65" s="168"/>
      <c r="P65" s="168"/>
    </row>
    <row r="66" spans="1:16" ht="16" x14ac:dyDescent="0.2">
      <c r="A66" s="163"/>
      <c r="B66" s="164" t="s">
        <v>192</v>
      </c>
      <c r="C66" s="171"/>
      <c r="D66" s="169">
        <v>497.5</v>
      </c>
      <c r="E66" s="169">
        <v>497.5</v>
      </c>
      <c r="F66" s="169">
        <v>480</v>
      </c>
      <c r="G66" s="169">
        <v>497.5</v>
      </c>
      <c r="H66" s="169">
        <v>480</v>
      </c>
      <c r="I66" s="169">
        <v>390</v>
      </c>
      <c r="J66" s="169">
        <v>497.5</v>
      </c>
      <c r="K66" s="169">
        <f>(29/30)*M66</f>
        <v>464</v>
      </c>
      <c r="L66" s="169">
        <v>497.5</v>
      </c>
      <c r="M66" s="169">
        <v>480</v>
      </c>
      <c r="N66" s="169">
        <v>497.5</v>
      </c>
      <c r="O66" s="169">
        <v>480</v>
      </c>
      <c r="P66" s="169"/>
    </row>
    <row r="67" spans="1:16" ht="16" x14ac:dyDescent="0.2">
      <c r="A67" s="163"/>
      <c r="B67" s="164" t="s">
        <v>193</v>
      </c>
      <c r="C67" s="171"/>
      <c r="D67" s="169">
        <v>248</v>
      </c>
      <c r="E67" s="169">
        <v>248</v>
      </c>
      <c r="F67" s="169">
        <v>240</v>
      </c>
      <c r="G67" s="169">
        <v>248</v>
      </c>
      <c r="H67" s="169">
        <v>240</v>
      </c>
      <c r="I67" s="169">
        <v>248</v>
      </c>
      <c r="J67" s="169">
        <v>248</v>
      </c>
      <c r="K67" s="169">
        <f>(29/30)*M67</f>
        <v>239.73333333333335</v>
      </c>
      <c r="L67" s="169">
        <v>248</v>
      </c>
      <c r="M67" s="169">
        <v>248</v>
      </c>
      <c r="N67" s="169">
        <v>248</v>
      </c>
      <c r="O67" s="169">
        <v>240</v>
      </c>
      <c r="P67" s="169"/>
    </row>
    <row r="68" spans="1:16" ht="16" x14ac:dyDescent="0.2">
      <c r="A68" s="163"/>
      <c r="B68" s="164" t="s">
        <v>194</v>
      </c>
      <c r="C68" s="184"/>
      <c r="D68" s="170">
        <v>250</v>
      </c>
      <c r="E68" s="170">
        <v>250</v>
      </c>
      <c r="F68" s="170">
        <v>250</v>
      </c>
      <c r="G68" s="170">
        <v>250</v>
      </c>
      <c r="H68" s="170">
        <v>250</v>
      </c>
      <c r="I68" s="170">
        <v>250</v>
      </c>
      <c r="J68" s="170">
        <v>250</v>
      </c>
      <c r="K68" s="385">
        <v>200</v>
      </c>
      <c r="L68" s="170">
        <v>250</v>
      </c>
      <c r="M68" s="170">
        <v>250</v>
      </c>
      <c r="N68" s="170">
        <v>250</v>
      </c>
      <c r="O68" s="170">
        <v>250</v>
      </c>
      <c r="P68" s="170"/>
    </row>
    <row r="69" spans="1:16" ht="16" x14ac:dyDescent="0.2">
      <c r="A69" s="163"/>
      <c r="B69" s="172"/>
      <c r="C69" s="165"/>
      <c r="D69" s="170"/>
      <c r="E69" s="170"/>
      <c r="F69" s="170"/>
      <c r="G69" s="170"/>
      <c r="H69" s="170"/>
      <c r="I69" s="170"/>
      <c r="J69" s="170"/>
      <c r="K69" s="170"/>
      <c r="L69" s="170"/>
      <c r="M69" s="170"/>
      <c r="N69" s="170"/>
      <c r="O69" s="170"/>
      <c r="P69" s="173"/>
    </row>
    <row r="70" spans="1:16" ht="16" x14ac:dyDescent="0.2">
      <c r="A70" s="166" t="s">
        <v>208</v>
      </c>
      <c r="B70" s="164" t="s">
        <v>191</v>
      </c>
      <c r="C70" s="171"/>
      <c r="D70" s="168"/>
      <c r="E70" s="168"/>
      <c r="F70" s="168"/>
      <c r="G70" s="168"/>
      <c r="H70" s="168"/>
      <c r="I70" s="168"/>
      <c r="J70" s="168"/>
      <c r="K70" s="168"/>
      <c r="L70" s="168"/>
      <c r="M70" s="168"/>
      <c r="N70" s="168"/>
      <c r="O70" s="168"/>
      <c r="P70" s="168"/>
    </row>
    <row r="71" spans="1:16" ht="16" x14ac:dyDescent="0.2">
      <c r="A71" s="163"/>
      <c r="B71" s="164" t="s">
        <v>192</v>
      </c>
      <c r="C71" s="171"/>
      <c r="D71" s="169">
        <v>75</v>
      </c>
      <c r="E71" s="169">
        <v>75</v>
      </c>
      <c r="F71" s="169">
        <v>75</v>
      </c>
      <c r="G71" s="169">
        <v>75</v>
      </c>
      <c r="H71" s="169">
        <v>75</v>
      </c>
      <c r="I71" s="169">
        <v>75</v>
      </c>
      <c r="J71" s="169">
        <v>75</v>
      </c>
      <c r="K71" s="169">
        <f>(29/30)*M71</f>
        <v>72.5</v>
      </c>
      <c r="L71" s="169">
        <v>75</v>
      </c>
      <c r="M71" s="169">
        <v>75</v>
      </c>
      <c r="N71" s="169">
        <v>75</v>
      </c>
      <c r="O71" s="169">
        <v>75</v>
      </c>
      <c r="P71" s="169"/>
    </row>
    <row r="72" spans="1:16" ht="16" x14ac:dyDescent="0.2">
      <c r="A72" s="163"/>
      <c r="B72" s="164" t="s">
        <v>194</v>
      </c>
      <c r="C72" s="171"/>
      <c r="D72" s="170">
        <v>11</v>
      </c>
      <c r="E72" s="170">
        <v>11</v>
      </c>
      <c r="F72" s="170">
        <v>63.3</v>
      </c>
      <c r="G72" s="170">
        <v>11</v>
      </c>
      <c r="H72" s="170">
        <v>63.3</v>
      </c>
      <c r="I72" s="170">
        <v>71.8</v>
      </c>
      <c r="J72" s="170">
        <v>11</v>
      </c>
      <c r="K72" s="170">
        <v>9.6</v>
      </c>
      <c r="L72" s="170">
        <v>11</v>
      </c>
      <c r="M72" s="170">
        <v>63.3</v>
      </c>
      <c r="N72" s="170">
        <v>11</v>
      </c>
      <c r="O72" s="170">
        <v>63.3</v>
      </c>
      <c r="P72" s="170"/>
    </row>
    <row r="73" spans="1:16" ht="16" x14ac:dyDescent="0.2">
      <c r="A73" s="163"/>
      <c r="B73" s="172"/>
      <c r="C73" s="165"/>
      <c r="D73" s="170"/>
      <c r="E73" s="170"/>
      <c r="F73" s="170"/>
      <c r="G73" s="170"/>
      <c r="H73" s="170"/>
      <c r="I73" s="170"/>
      <c r="J73" s="170"/>
      <c r="K73" s="170"/>
      <c r="L73" s="170"/>
      <c r="M73" s="170"/>
      <c r="N73" s="170"/>
      <c r="O73" s="170"/>
      <c r="P73" s="173"/>
    </row>
    <row r="74" spans="1:16" ht="16" x14ac:dyDescent="0.2">
      <c r="A74" s="166" t="s">
        <v>209</v>
      </c>
      <c r="B74" s="164" t="s">
        <v>191</v>
      </c>
      <c r="C74" s="171"/>
      <c r="D74" s="168"/>
      <c r="E74" s="168"/>
      <c r="F74" s="168"/>
      <c r="G74" s="168"/>
      <c r="H74" s="168"/>
      <c r="I74" s="168"/>
      <c r="J74" s="168"/>
      <c r="K74" s="168"/>
      <c r="L74" s="168"/>
      <c r="M74" s="168"/>
      <c r="N74" s="168"/>
      <c r="O74" s="168"/>
      <c r="P74" s="168"/>
    </row>
    <row r="75" spans="1:16" ht="12" customHeight="1" x14ac:dyDescent="0.2">
      <c r="A75" s="163"/>
      <c r="B75" s="164" t="s">
        <v>192</v>
      </c>
      <c r="C75" s="171"/>
      <c r="D75" s="169">
        <v>647</v>
      </c>
      <c r="E75" s="169">
        <v>647</v>
      </c>
      <c r="F75" s="169">
        <v>647</v>
      </c>
      <c r="G75" s="169">
        <v>647</v>
      </c>
      <c r="H75" s="169">
        <v>647</v>
      </c>
      <c r="I75" s="169">
        <v>700</v>
      </c>
      <c r="J75" s="169">
        <v>647</v>
      </c>
      <c r="K75" s="169">
        <f>(29/30)*M75</f>
        <v>625.43333333333339</v>
      </c>
      <c r="L75" s="169">
        <v>647</v>
      </c>
      <c r="M75" s="169">
        <v>647</v>
      </c>
      <c r="N75" s="169">
        <v>647</v>
      </c>
      <c r="O75" s="169">
        <v>647</v>
      </c>
      <c r="P75" s="170"/>
    </row>
    <row r="76" spans="1:16" ht="12" customHeight="1" x14ac:dyDescent="0.2">
      <c r="A76" s="163"/>
      <c r="B76" s="164" t="s">
        <v>194</v>
      </c>
      <c r="C76" s="171"/>
      <c r="D76" s="170">
        <v>0</v>
      </c>
      <c r="E76" s="170">
        <v>0</v>
      </c>
      <c r="F76" s="175" t="s">
        <v>195</v>
      </c>
      <c r="G76" s="170">
        <v>0</v>
      </c>
      <c r="H76" s="175" t="s">
        <v>195</v>
      </c>
      <c r="I76" s="175" t="s">
        <v>195</v>
      </c>
      <c r="J76" s="170">
        <v>0</v>
      </c>
      <c r="K76" s="170">
        <v>0</v>
      </c>
      <c r="L76" s="170">
        <v>0</v>
      </c>
      <c r="M76" s="175" t="s">
        <v>195</v>
      </c>
      <c r="N76" s="170">
        <v>0</v>
      </c>
      <c r="O76" s="384"/>
      <c r="P76" s="170"/>
    </row>
    <row r="77" spans="1:16" ht="12" customHeight="1" x14ac:dyDescent="0.2">
      <c r="A77" s="163"/>
      <c r="B77" s="172"/>
      <c r="C77" s="165"/>
      <c r="D77" s="170"/>
      <c r="E77" s="170"/>
      <c r="F77" s="170"/>
      <c r="G77" s="170"/>
      <c r="H77" s="170"/>
      <c r="I77" s="170"/>
      <c r="J77" s="170"/>
      <c r="K77" s="170"/>
      <c r="L77" s="170"/>
      <c r="M77" s="170"/>
      <c r="N77" s="170"/>
      <c r="O77" s="170"/>
      <c r="P77" s="173"/>
    </row>
    <row r="78" spans="1:16" ht="16" x14ac:dyDescent="0.2">
      <c r="A78" s="166" t="s">
        <v>317</v>
      </c>
      <c r="B78" s="164" t="s">
        <v>191</v>
      </c>
      <c r="C78" s="171"/>
      <c r="D78" s="168"/>
      <c r="E78" s="168"/>
      <c r="F78" s="168"/>
      <c r="G78" s="168"/>
      <c r="H78" s="168"/>
      <c r="I78" s="168"/>
      <c r="J78" s="168"/>
      <c r="K78" s="168"/>
      <c r="L78" s="168"/>
      <c r="M78" s="168"/>
      <c r="N78" s="168"/>
      <c r="O78" s="168"/>
      <c r="P78" s="168"/>
    </row>
    <row r="79" spans="1:16" ht="16" x14ac:dyDescent="0.2">
      <c r="A79" s="163"/>
      <c r="B79" s="164" t="s">
        <v>192</v>
      </c>
      <c r="C79" s="171"/>
      <c r="D79" s="169">
        <v>213</v>
      </c>
      <c r="E79" s="169">
        <v>213</v>
      </c>
      <c r="F79" s="169">
        <v>200</v>
      </c>
      <c r="G79" s="169">
        <v>213</v>
      </c>
      <c r="H79" s="169">
        <v>200</v>
      </c>
      <c r="I79" s="169">
        <v>213</v>
      </c>
      <c r="J79" s="169">
        <v>213</v>
      </c>
      <c r="K79" s="169">
        <v>180</v>
      </c>
      <c r="L79" s="169">
        <v>213</v>
      </c>
      <c r="M79" s="169">
        <v>200</v>
      </c>
      <c r="N79" s="169">
        <v>213</v>
      </c>
      <c r="O79" s="169">
        <v>200</v>
      </c>
      <c r="P79" s="169"/>
    </row>
    <row r="80" spans="1:16" ht="16" x14ac:dyDescent="0.2">
      <c r="A80" s="163"/>
      <c r="B80" s="164" t="s">
        <v>193</v>
      </c>
      <c r="C80" s="167"/>
      <c r="D80" s="169">
        <v>248</v>
      </c>
      <c r="E80" s="169">
        <v>248</v>
      </c>
      <c r="F80" s="169">
        <v>240</v>
      </c>
      <c r="G80" s="169">
        <v>248</v>
      </c>
      <c r="H80" s="169">
        <v>240</v>
      </c>
      <c r="I80" s="169">
        <v>248</v>
      </c>
      <c r="J80" s="169">
        <v>248</v>
      </c>
      <c r="K80" s="169">
        <f>(29/30)*M80</f>
        <v>232</v>
      </c>
      <c r="L80" s="169">
        <v>248</v>
      </c>
      <c r="M80" s="169">
        <v>240</v>
      </c>
      <c r="N80" s="169">
        <v>248</v>
      </c>
      <c r="O80" s="169">
        <v>240</v>
      </c>
      <c r="P80" s="169"/>
    </row>
    <row r="81" spans="1:16" ht="16" x14ac:dyDescent="0.2">
      <c r="A81" s="163"/>
      <c r="B81" s="172"/>
      <c r="C81" s="165"/>
      <c r="D81" s="170"/>
      <c r="E81" s="170"/>
      <c r="F81" s="170"/>
      <c r="G81" s="170"/>
      <c r="H81" s="170"/>
      <c r="I81" s="170"/>
      <c r="J81" s="170"/>
      <c r="K81" s="170"/>
      <c r="L81" s="170"/>
      <c r="M81" s="170"/>
      <c r="N81" s="170"/>
      <c r="O81" s="170"/>
      <c r="P81" s="173"/>
    </row>
    <row r="82" spans="1:16" ht="16" x14ac:dyDescent="0.2">
      <c r="A82" s="166" t="s">
        <v>210</v>
      </c>
      <c r="B82" s="164" t="s">
        <v>191</v>
      </c>
      <c r="C82" s="171"/>
      <c r="D82" s="168"/>
      <c r="E82" s="168"/>
      <c r="F82" s="168"/>
      <c r="G82" s="168"/>
      <c r="H82" s="168"/>
      <c r="I82" s="168"/>
      <c r="J82" s="168"/>
      <c r="K82" s="168"/>
      <c r="L82" s="168"/>
      <c r="M82" s="168"/>
      <c r="N82" s="168"/>
      <c r="O82" s="168"/>
      <c r="P82" s="168"/>
    </row>
    <row r="83" spans="1:16" ht="16" x14ac:dyDescent="0.2">
      <c r="A83" s="163"/>
      <c r="B83" s="164" t="s">
        <v>192</v>
      </c>
      <c r="C83" s="171"/>
      <c r="D83" s="169">
        <v>100</v>
      </c>
      <c r="E83" s="169">
        <v>100</v>
      </c>
      <c r="F83" s="169">
        <v>100</v>
      </c>
      <c r="G83" s="169">
        <v>100</v>
      </c>
      <c r="H83" s="169">
        <v>100</v>
      </c>
      <c r="I83" s="169">
        <v>100</v>
      </c>
      <c r="J83" s="169">
        <v>100</v>
      </c>
      <c r="K83" s="169">
        <f>(29/30)*M83</f>
        <v>96.666666666666671</v>
      </c>
      <c r="L83" s="169">
        <v>100</v>
      </c>
      <c r="M83" s="169">
        <v>100</v>
      </c>
      <c r="N83" s="169">
        <v>100</v>
      </c>
      <c r="O83" s="169">
        <v>100</v>
      </c>
      <c r="P83" s="169"/>
    </row>
    <row r="84" spans="1:16" ht="16" x14ac:dyDescent="0.2">
      <c r="A84" s="163"/>
      <c r="B84" s="164" t="s">
        <v>193</v>
      </c>
      <c r="C84" s="171"/>
      <c r="D84" s="169">
        <v>240</v>
      </c>
      <c r="E84" s="169">
        <v>240</v>
      </c>
      <c r="F84" s="169">
        <v>240</v>
      </c>
      <c r="G84" s="169">
        <v>240</v>
      </c>
      <c r="H84" s="169">
        <v>240</v>
      </c>
      <c r="I84" s="169">
        <v>240</v>
      </c>
      <c r="J84" s="169">
        <v>240</v>
      </c>
      <c r="K84" s="169">
        <f>(29/30)*M84</f>
        <v>232</v>
      </c>
      <c r="L84" s="169">
        <v>240</v>
      </c>
      <c r="M84" s="169">
        <v>240</v>
      </c>
      <c r="N84" s="169">
        <v>240</v>
      </c>
      <c r="O84" s="169">
        <v>240</v>
      </c>
      <c r="P84" s="169"/>
    </row>
    <row r="85" spans="1:16" ht="16" x14ac:dyDescent="0.2">
      <c r="A85" s="163"/>
      <c r="B85" s="164" t="s">
        <v>194</v>
      </c>
      <c r="C85" s="167"/>
      <c r="D85" s="170">
        <v>102</v>
      </c>
      <c r="E85" s="170">
        <v>102</v>
      </c>
      <c r="F85" s="175" t="s">
        <v>195</v>
      </c>
      <c r="G85" s="170">
        <v>102</v>
      </c>
      <c r="H85" s="175" t="s">
        <v>195</v>
      </c>
      <c r="I85" s="175" t="s">
        <v>195</v>
      </c>
      <c r="J85" s="170">
        <v>102</v>
      </c>
      <c r="K85" s="175" t="s">
        <v>195</v>
      </c>
      <c r="L85" s="170">
        <v>102</v>
      </c>
      <c r="M85" s="175" t="s">
        <v>195</v>
      </c>
      <c r="N85" s="170">
        <v>102</v>
      </c>
      <c r="O85" s="175" t="s">
        <v>195</v>
      </c>
      <c r="P85" s="170"/>
    </row>
    <row r="86" spans="1:16" ht="16" x14ac:dyDescent="0.2">
      <c r="A86" s="163"/>
      <c r="B86" s="172"/>
      <c r="C86" s="165"/>
      <c r="D86" s="170"/>
      <c r="E86" s="170"/>
      <c r="F86" s="170"/>
      <c r="G86" s="170"/>
      <c r="H86" s="170"/>
      <c r="I86" s="170"/>
      <c r="J86" s="170"/>
      <c r="K86" s="170"/>
      <c r="L86" s="170"/>
      <c r="M86" s="170"/>
      <c r="N86" s="170"/>
      <c r="O86" s="170"/>
      <c r="P86" s="173"/>
    </row>
    <row r="87" spans="1:16" ht="16" x14ac:dyDescent="0.2">
      <c r="A87" s="166" t="s">
        <v>211</v>
      </c>
      <c r="B87" s="164" t="s">
        <v>191</v>
      </c>
      <c r="C87" s="171"/>
      <c r="D87" s="168"/>
      <c r="E87" s="168"/>
      <c r="F87" s="168"/>
      <c r="G87" s="168"/>
      <c r="H87" s="168"/>
      <c r="I87" s="168"/>
      <c r="J87" s="168"/>
      <c r="K87" s="168"/>
      <c r="L87" s="168"/>
      <c r="M87" s="168"/>
      <c r="N87" s="168"/>
      <c r="O87" s="168"/>
      <c r="P87" s="168"/>
    </row>
    <row r="88" spans="1:16" ht="16" x14ac:dyDescent="0.2">
      <c r="A88" s="163"/>
      <c r="B88" s="164" t="s">
        <v>192</v>
      </c>
      <c r="C88" s="171"/>
      <c r="D88" s="169">
        <v>322</v>
      </c>
      <c r="E88" s="169">
        <v>322</v>
      </c>
      <c r="F88" s="169">
        <v>320</v>
      </c>
      <c r="G88" s="169">
        <v>322</v>
      </c>
      <c r="H88" s="169">
        <v>320</v>
      </c>
      <c r="I88" s="169">
        <v>320</v>
      </c>
      <c r="J88" s="169">
        <v>322</v>
      </c>
      <c r="K88" s="169">
        <f>(29/30)*M88</f>
        <v>309.33333333333331</v>
      </c>
      <c r="L88" s="169">
        <v>322</v>
      </c>
      <c r="M88" s="169">
        <v>320</v>
      </c>
      <c r="N88" s="169">
        <v>322</v>
      </c>
      <c r="O88" s="169">
        <v>320</v>
      </c>
      <c r="P88" s="169"/>
    </row>
    <row r="89" spans="1:16" ht="16" x14ac:dyDescent="0.2">
      <c r="A89" s="163"/>
      <c r="B89" s="164" t="s">
        <v>193</v>
      </c>
      <c r="C89" s="171"/>
      <c r="D89" s="169">
        <v>248</v>
      </c>
      <c r="E89" s="169">
        <v>248</v>
      </c>
      <c r="F89" s="169">
        <v>240</v>
      </c>
      <c r="G89" s="169">
        <v>248</v>
      </c>
      <c r="H89" s="169">
        <v>240</v>
      </c>
      <c r="I89" s="169">
        <v>248</v>
      </c>
      <c r="J89" s="169">
        <v>248</v>
      </c>
      <c r="K89" s="169">
        <f>(29/30)*M89</f>
        <v>232</v>
      </c>
      <c r="L89" s="169">
        <v>248</v>
      </c>
      <c r="M89" s="169">
        <v>240</v>
      </c>
      <c r="N89" s="169">
        <v>248</v>
      </c>
      <c r="O89" s="169">
        <v>240</v>
      </c>
      <c r="P89" s="169"/>
    </row>
    <row r="90" spans="1:16" ht="16" x14ac:dyDescent="0.2">
      <c r="A90" s="163"/>
      <c r="B90" s="164" t="s">
        <v>194</v>
      </c>
      <c r="C90" s="167"/>
      <c r="D90" s="175" t="s">
        <v>195</v>
      </c>
      <c r="E90" s="175" t="s">
        <v>195</v>
      </c>
      <c r="F90" s="175" t="s">
        <v>195</v>
      </c>
      <c r="G90" s="175" t="s">
        <v>195</v>
      </c>
      <c r="H90" s="175" t="s">
        <v>195</v>
      </c>
      <c r="I90" s="175" t="s">
        <v>195</v>
      </c>
      <c r="J90" s="175" t="s">
        <v>195</v>
      </c>
      <c r="K90" s="170">
        <v>22</v>
      </c>
      <c r="L90" s="175" t="s">
        <v>195</v>
      </c>
      <c r="M90" s="175" t="s">
        <v>195</v>
      </c>
      <c r="N90" s="175" t="s">
        <v>195</v>
      </c>
      <c r="O90" s="175" t="s">
        <v>195</v>
      </c>
      <c r="P90" s="170"/>
    </row>
    <row r="91" spans="1:16" ht="16" x14ac:dyDescent="0.2">
      <c r="A91" s="163"/>
      <c r="B91" s="172"/>
      <c r="C91" s="165"/>
      <c r="D91" s="170"/>
      <c r="E91" s="170"/>
      <c r="F91" s="170"/>
      <c r="G91" s="170"/>
      <c r="H91" s="170"/>
      <c r="I91" s="170"/>
      <c r="J91" s="170"/>
      <c r="K91" s="170"/>
      <c r="L91" s="170"/>
      <c r="M91" s="170"/>
      <c r="N91" s="170"/>
      <c r="O91" s="170"/>
      <c r="P91" s="173"/>
    </row>
    <row r="92" spans="1:16" ht="16" x14ac:dyDescent="0.2">
      <c r="A92" s="166" t="s">
        <v>359</v>
      </c>
      <c r="B92" s="164" t="s">
        <v>191</v>
      </c>
      <c r="C92" s="171"/>
      <c r="D92" s="168"/>
      <c r="E92" s="168"/>
      <c r="F92" s="168"/>
      <c r="G92" s="168"/>
      <c r="H92" s="168"/>
      <c r="I92" s="168"/>
      <c r="J92" s="168"/>
      <c r="K92" s="168"/>
      <c r="L92" s="168"/>
      <c r="M92" s="168"/>
      <c r="N92" s="168"/>
      <c r="O92" s="168"/>
      <c r="P92" s="168"/>
    </row>
    <row r="93" spans="1:16" ht="16" x14ac:dyDescent="0.2">
      <c r="A93" s="163"/>
      <c r="B93" s="164" t="s">
        <v>192</v>
      </c>
      <c r="C93" s="171"/>
      <c r="D93" s="169"/>
      <c r="E93" s="169"/>
      <c r="F93" s="169"/>
      <c r="G93" s="169"/>
      <c r="H93" s="169"/>
      <c r="I93" s="169"/>
      <c r="J93" s="169"/>
      <c r="K93" s="169"/>
      <c r="L93" s="169"/>
      <c r="M93" s="169"/>
      <c r="N93" s="169"/>
      <c r="O93" s="169"/>
      <c r="P93" s="169"/>
    </row>
    <row r="94" spans="1:16" ht="16" x14ac:dyDescent="0.2">
      <c r="A94" s="163"/>
      <c r="B94" s="164" t="s">
        <v>193</v>
      </c>
      <c r="C94" s="167"/>
      <c r="D94" s="170"/>
      <c r="E94" s="170"/>
      <c r="F94" s="170"/>
      <c r="G94" s="170"/>
      <c r="H94" s="170"/>
      <c r="I94" s="170"/>
      <c r="J94" s="170"/>
      <c r="K94" s="170"/>
      <c r="L94" s="170"/>
      <c r="M94" s="170"/>
      <c r="N94" s="170"/>
      <c r="O94" s="170"/>
      <c r="P94" s="170"/>
    </row>
    <row r="95" spans="1:16" ht="16" x14ac:dyDescent="0.2">
      <c r="A95" s="163"/>
      <c r="B95" s="164" t="s">
        <v>194</v>
      </c>
      <c r="C95" s="167"/>
      <c r="D95" s="170"/>
      <c r="E95" s="170"/>
      <c r="F95" s="170"/>
      <c r="G95" s="170"/>
      <c r="H95" s="170"/>
      <c r="I95" s="170"/>
      <c r="J95" s="170"/>
      <c r="K95" s="170"/>
      <c r="L95" s="170"/>
      <c r="M95" s="170"/>
      <c r="N95" s="170"/>
      <c r="O95" s="170"/>
      <c r="P95" s="170"/>
    </row>
    <row r="96" spans="1:16" ht="16" x14ac:dyDescent="0.2">
      <c r="A96" s="163"/>
      <c r="B96" s="172"/>
      <c r="C96" s="165"/>
      <c r="D96" s="167"/>
      <c r="E96" s="167"/>
      <c r="F96" s="170"/>
      <c r="G96" s="167"/>
      <c r="H96" s="170"/>
      <c r="I96" s="170"/>
      <c r="J96" s="167"/>
      <c r="K96" s="170"/>
      <c r="L96" s="167"/>
      <c r="M96" s="170"/>
      <c r="N96" s="167"/>
      <c r="O96" s="170"/>
      <c r="P96" s="173"/>
    </row>
    <row r="97" spans="1:16" ht="16" x14ac:dyDescent="0.2">
      <c r="A97" s="166" t="s">
        <v>212</v>
      </c>
      <c r="B97" s="164" t="s">
        <v>191</v>
      </c>
      <c r="C97" s="171"/>
      <c r="D97" s="168"/>
      <c r="E97" s="168"/>
      <c r="F97" s="168"/>
      <c r="G97" s="168"/>
      <c r="H97" s="168"/>
      <c r="I97" s="168"/>
      <c r="J97" s="168"/>
      <c r="K97" s="168"/>
      <c r="L97" s="168"/>
      <c r="M97" s="168"/>
      <c r="N97" s="168"/>
      <c r="O97" s="168"/>
      <c r="P97" s="168"/>
    </row>
    <row r="98" spans="1:16" ht="16" x14ac:dyDescent="0.2">
      <c r="A98" s="163"/>
      <c r="B98" s="164" t="s">
        <v>192</v>
      </c>
      <c r="C98" s="171"/>
      <c r="D98" s="169">
        <v>400</v>
      </c>
      <c r="E98" s="169">
        <v>400</v>
      </c>
      <c r="F98" s="169">
        <v>410</v>
      </c>
      <c r="G98" s="169">
        <v>396</v>
      </c>
      <c r="H98" s="169">
        <v>410</v>
      </c>
      <c r="I98" s="169">
        <v>410</v>
      </c>
      <c r="J98" s="169">
        <v>400</v>
      </c>
      <c r="K98" s="169">
        <f>(29/30)*M98</f>
        <v>396.33333333333331</v>
      </c>
      <c r="L98" s="169">
        <v>400</v>
      </c>
      <c r="M98" s="169">
        <v>410</v>
      </c>
      <c r="N98" s="169">
        <v>410</v>
      </c>
      <c r="O98" s="169">
        <v>410</v>
      </c>
      <c r="P98" s="169"/>
    </row>
    <row r="99" spans="1:16" ht="16" x14ac:dyDescent="0.2">
      <c r="A99" s="163"/>
      <c r="B99" s="164" t="s">
        <v>193</v>
      </c>
      <c r="C99" s="171"/>
      <c r="D99" s="169">
        <v>2</v>
      </c>
      <c r="E99" s="169">
        <v>2</v>
      </c>
      <c r="F99" s="169">
        <v>3</v>
      </c>
      <c r="G99" s="169">
        <v>2</v>
      </c>
      <c r="H99" s="169">
        <v>3</v>
      </c>
      <c r="I99" s="169">
        <v>3</v>
      </c>
      <c r="J99" s="169">
        <v>2</v>
      </c>
      <c r="K99" s="169">
        <v>3</v>
      </c>
      <c r="L99" s="169">
        <v>2</v>
      </c>
      <c r="M99" s="169">
        <v>3</v>
      </c>
      <c r="N99" s="169">
        <v>2</v>
      </c>
      <c r="O99" s="169">
        <v>3</v>
      </c>
      <c r="P99" s="169"/>
    </row>
    <row r="100" spans="1:16" ht="16" x14ac:dyDescent="0.2">
      <c r="A100" s="163"/>
      <c r="B100" s="164" t="s">
        <v>194</v>
      </c>
      <c r="C100" s="167"/>
      <c r="D100" s="170">
        <v>1000</v>
      </c>
      <c r="E100" s="170">
        <v>1000</v>
      </c>
      <c r="F100" s="170">
        <v>1000</v>
      </c>
      <c r="G100" s="170">
        <v>1000</v>
      </c>
      <c r="H100" s="170">
        <v>1000</v>
      </c>
      <c r="I100" s="170">
        <v>1000</v>
      </c>
      <c r="J100" s="170">
        <v>1000</v>
      </c>
      <c r="K100" s="170">
        <v>1000</v>
      </c>
      <c r="L100" s="170">
        <v>1000</v>
      </c>
      <c r="M100" s="170">
        <v>1000</v>
      </c>
      <c r="N100" s="170">
        <v>1000</v>
      </c>
      <c r="O100" s="170">
        <v>1000</v>
      </c>
      <c r="P100" s="170"/>
    </row>
    <row r="101" spans="1:16" ht="16" x14ac:dyDescent="0.2">
      <c r="A101" s="163"/>
      <c r="B101" s="172"/>
      <c r="C101" s="165"/>
      <c r="D101" s="167"/>
      <c r="E101" s="167"/>
      <c r="F101" s="170"/>
      <c r="G101" s="167"/>
      <c r="H101" s="170"/>
      <c r="I101" s="170"/>
      <c r="J101" s="167"/>
      <c r="K101" s="170"/>
      <c r="L101" s="167"/>
      <c r="M101" s="170"/>
      <c r="N101" s="167"/>
      <c r="O101" s="170"/>
      <c r="P101" s="173"/>
    </row>
    <row r="102" spans="1:16" ht="13" customHeight="1" x14ac:dyDescent="0.2">
      <c r="A102" s="166" t="s">
        <v>213</v>
      </c>
      <c r="B102" s="164" t="s">
        <v>191</v>
      </c>
      <c r="C102" s="171"/>
      <c r="D102" s="168"/>
      <c r="E102" s="168"/>
      <c r="F102" s="168"/>
      <c r="G102" s="168"/>
      <c r="H102" s="168"/>
      <c r="I102" s="168"/>
      <c r="J102" s="168"/>
      <c r="K102" s="168"/>
      <c r="L102" s="168"/>
      <c r="M102" s="168"/>
      <c r="N102" s="168"/>
      <c r="O102" s="168"/>
      <c r="P102" s="168"/>
    </row>
    <row r="103" spans="1:16" ht="16" x14ac:dyDescent="0.2">
      <c r="A103" s="163"/>
      <c r="B103" s="164" t="s">
        <v>192</v>
      </c>
      <c r="C103" s="171"/>
      <c r="D103" s="169">
        <v>490</v>
      </c>
      <c r="E103" s="169">
        <v>490</v>
      </c>
      <c r="F103" s="169">
        <v>400</v>
      </c>
      <c r="G103" s="169">
        <v>490</v>
      </c>
      <c r="H103" s="169">
        <v>400</v>
      </c>
      <c r="I103" s="169">
        <v>490</v>
      </c>
      <c r="J103" s="169">
        <v>490</v>
      </c>
      <c r="K103" s="169">
        <f>(29/30)*M103</f>
        <v>386.66666666666669</v>
      </c>
      <c r="L103" s="169">
        <v>490</v>
      </c>
      <c r="M103" s="169">
        <v>400</v>
      </c>
      <c r="N103" s="169">
        <v>490</v>
      </c>
      <c r="O103" s="169">
        <v>490</v>
      </c>
      <c r="P103" s="169"/>
    </row>
    <row r="104" spans="1:16" ht="16" x14ac:dyDescent="0.2">
      <c r="A104" s="163"/>
      <c r="B104" s="164" t="s">
        <v>193</v>
      </c>
      <c r="C104" s="171"/>
      <c r="D104" s="169">
        <v>200</v>
      </c>
      <c r="E104" s="169">
        <v>200</v>
      </c>
      <c r="F104" s="169">
        <v>200</v>
      </c>
      <c r="G104" s="169">
        <v>200</v>
      </c>
      <c r="H104" s="169">
        <v>200</v>
      </c>
      <c r="I104" s="169">
        <v>200</v>
      </c>
      <c r="J104" s="169">
        <v>200</v>
      </c>
      <c r="K104" s="169">
        <f>(29/30)*M104</f>
        <v>193.33333333333334</v>
      </c>
      <c r="L104" s="169">
        <v>200</v>
      </c>
      <c r="M104" s="169">
        <v>200</v>
      </c>
      <c r="N104" s="169">
        <v>200</v>
      </c>
      <c r="O104" s="169">
        <v>200</v>
      </c>
      <c r="P104" s="169"/>
    </row>
    <row r="105" spans="1:16" ht="16" x14ac:dyDescent="0.2">
      <c r="A105" s="163"/>
      <c r="B105" s="164" t="s">
        <v>194</v>
      </c>
      <c r="C105" s="167"/>
      <c r="D105" s="175" t="s">
        <v>195</v>
      </c>
      <c r="E105" s="175" t="s">
        <v>195</v>
      </c>
      <c r="F105" s="170">
        <v>199.9</v>
      </c>
      <c r="G105" s="175" t="s">
        <v>195</v>
      </c>
      <c r="H105" s="170">
        <v>199.9</v>
      </c>
      <c r="I105" s="170">
        <v>198.8</v>
      </c>
      <c r="J105" s="175" t="s">
        <v>195</v>
      </c>
      <c r="K105" s="170">
        <v>435.5</v>
      </c>
      <c r="L105" s="175" t="s">
        <v>195</v>
      </c>
      <c r="M105" s="170">
        <v>199.9</v>
      </c>
      <c r="N105" s="175" t="s">
        <v>195</v>
      </c>
      <c r="O105" s="170">
        <v>199.9</v>
      </c>
      <c r="P105" s="170"/>
    </row>
    <row r="106" spans="1:16" ht="16" x14ac:dyDescent="0.2">
      <c r="A106" s="163"/>
      <c r="B106" s="172"/>
      <c r="C106" s="165"/>
      <c r="D106" s="167"/>
      <c r="E106" s="167"/>
      <c r="F106" s="170"/>
      <c r="G106" s="167"/>
      <c r="H106" s="170"/>
      <c r="I106" s="170"/>
      <c r="J106" s="167"/>
      <c r="K106" s="170"/>
      <c r="L106" s="167"/>
      <c r="M106" s="170"/>
      <c r="N106" s="167"/>
      <c r="O106" s="170"/>
      <c r="P106" s="173"/>
    </row>
    <row r="107" spans="1:16" ht="16" x14ac:dyDescent="0.2">
      <c r="A107" s="166" t="s">
        <v>214</v>
      </c>
      <c r="B107" s="164" t="s">
        <v>191</v>
      </c>
      <c r="C107" s="171"/>
      <c r="D107" s="168"/>
      <c r="E107" s="168"/>
      <c r="F107" s="168"/>
      <c r="G107" s="168"/>
      <c r="H107" s="168"/>
      <c r="I107" s="168"/>
      <c r="J107" s="168"/>
      <c r="K107" s="168"/>
      <c r="L107" s="168"/>
      <c r="M107" s="168"/>
      <c r="N107" s="168"/>
      <c r="O107" s="168"/>
      <c r="P107" s="168"/>
    </row>
    <row r="108" spans="1:16" ht="16" x14ac:dyDescent="0.2">
      <c r="A108" s="163"/>
      <c r="B108" s="164" t="s">
        <v>192</v>
      </c>
      <c r="C108" s="171"/>
      <c r="D108" s="169">
        <v>382</v>
      </c>
      <c r="E108" s="169">
        <v>370</v>
      </c>
      <c r="F108" s="169">
        <v>370</v>
      </c>
      <c r="G108" s="169">
        <v>382</v>
      </c>
      <c r="H108" s="169">
        <v>382</v>
      </c>
      <c r="I108" s="169">
        <v>382</v>
      </c>
      <c r="J108" s="169">
        <v>370</v>
      </c>
      <c r="K108" s="169">
        <f>(29/30)*M108</f>
        <v>357.66666666666669</v>
      </c>
      <c r="L108" s="169">
        <v>382</v>
      </c>
      <c r="M108" s="169">
        <v>370</v>
      </c>
      <c r="N108" s="169">
        <v>382</v>
      </c>
      <c r="O108" s="169">
        <v>382</v>
      </c>
      <c r="P108" s="169"/>
    </row>
    <row r="109" spans="1:16" ht="16" x14ac:dyDescent="0.2">
      <c r="A109" s="163"/>
      <c r="B109" s="164" t="s">
        <v>194</v>
      </c>
      <c r="C109" s="167"/>
      <c r="D109" s="170"/>
      <c r="E109" s="170"/>
      <c r="F109" s="170"/>
      <c r="G109" s="170"/>
      <c r="H109" s="170"/>
      <c r="I109" s="170"/>
      <c r="J109" s="170"/>
      <c r="K109" s="170"/>
      <c r="L109" s="170"/>
      <c r="M109" s="170"/>
      <c r="N109" s="170"/>
      <c r="O109" s="170"/>
      <c r="P109" s="170"/>
    </row>
    <row r="110" spans="1:16" ht="16" x14ac:dyDescent="0.2">
      <c r="A110" s="292"/>
      <c r="B110" s="183"/>
      <c r="C110" s="167"/>
      <c r="D110" s="185"/>
      <c r="E110" s="185"/>
      <c r="F110" s="170"/>
      <c r="G110" s="185"/>
      <c r="H110" s="170"/>
      <c r="I110" s="170"/>
      <c r="J110" s="185"/>
      <c r="K110" s="170"/>
      <c r="L110" s="185"/>
      <c r="M110" s="170"/>
      <c r="N110" s="185"/>
      <c r="O110" s="170"/>
      <c r="P110" s="165"/>
    </row>
    <row r="111" spans="1:16" ht="16" x14ac:dyDescent="0.2">
      <c r="A111" s="291" t="s">
        <v>215</v>
      </c>
      <c r="B111" s="164" t="s">
        <v>191</v>
      </c>
      <c r="C111" s="187"/>
      <c r="D111" s="168"/>
      <c r="E111" s="168"/>
      <c r="F111" s="168"/>
      <c r="G111" s="168"/>
      <c r="H111" s="168"/>
      <c r="I111" s="168"/>
      <c r="J111" s="168"/>
      <c r="K111" s="168"/>
      <c r="L111" s="168"/>
      <c r="M111" s="168"/>
      <c r="N111" s="168"/>
      <c r="O111" s="168"/>
      <c r="P111" s="168"/>
    </row>
    <row r="112" spans="1:16" ht="16" x14ac:dyDescent="0.2">
      <c r="A112" s="163"/>
      <c r="B112" s="164" t="s">
        <v>192</v>
      </c>
      <c r="C112" s="171"/>
      <c r="D112" s="169">
        <v>40</v>
      </c>
      <c r="E112" s="169">
        <v>40</v>
      </c>
      <c r="F112" s="169">
        <v>40</v>
      </c>
      <c r="G112" s="169">
        <v>40</v>
      </c>
      <c r="H112" s="169">
        <v>40</v>
      </c>
      <c r="I112" s="169">
        <v>40</v>
      </c>
      <c r="J112" s="169">
        <v>40</v>
      </c>
      <c r="K112" s="169">
        <f>(29/30)*M112</f>
        <v>38.666666666666664</v>
      </c>
      <c r="L112" s="169">
        <v>40</v>
      </c>
      <c r="M112" s="169">
        <v>40</v>
      </c>
      <c r="N112" s="169">
        <v>40</v>
      </c>
      <c r="O112" s="169">
        <v>40</v>
      </c>
      <c r="P112" s="169"/>
    </row>
    <row r="113" spans="1:16" ht="16" x14ac:dyDescent="0.2">
      <c r="A113" s="163"/>
      <c r="B113" s="164" t="s">
        <v>193</v>
      </c>
      <c r="C113" s="171"/>
      <c r="D113" s="169"/>
      <c r="E113" s="169"/>
      <c r="F113" s="169"/>
      <c r="G113" s="169"/>
      <c r="H113" s="169"/>
      <c r="I113" s="169"/>
      <c r="J113" s="169"/>
      <c r="K113" s="169"/>
      <c r="L113" s="169"/>
      <c r="M113" s="169"/>
      <c r="N113" s="169"/>
      <c r="O113" s="169"/>
      <c r="P113" s="169"/>
    </row>
    <row r="114" spans="1:16" ht="16" x14ac:dyDescent="0.2">
      <c r="A114" s="163"/>
      <c r="B114" s="164" t="s">
        <v>194</v>
      </c>
      <c r="C114" s="167"/>
      <c r="D114" s="170">
        <v>8.6</v>
      </c>
      <c r="E114" s="170">
        <v>8.6</v>
      </c>
      <c r="F114" s="170"/>
      <c r="G114" s="170">
        <v>8.6</v>
      </c>
      <c r="H114" s="170"/>
      <c r="I114" s="170">
        <v>1.2</v>
      </c>
      <c r="J114" s="170">
        <v>8.6</v>
      </c>
      <c r="K114" s="170"/>
      <c r="L114" s="170">
        <v>8.6</v>
      </c>
      <c r="M114" s="170"/>
      <c r="N114" s="170">
        <v>8.6</v>
      </c>
      <c r="O114" s="170"/>
      <c r="P114" s="177"/>
    </row>
    <row r="115" spans="1:16" ht="16" x14ac:dyDescent="0.2">
      <c r="A115" s="186"/>
      <c r="B115" s="183"/>
      <c r="C115" s="167"/>
      <c r="D115" s="185"/>
      <c r="E115" s="185"/>
      <c r="F115" s="170"/>
      <c r="G115" s="185"/>
      <c r="H115" s="170"/>
      <c r="I115" s="170"/>
      <c r="J115" s="185"/>
      <c r="K115" s="170"/>
      <c r="L115" s="185"/>
      <c r="M115" s="170"/>
      <c r="N115" s="185"/>
      <c r="O115" s="170"/>
      <c r="P115" s="165"/>
    </row>
    <row r="116" spans="1:16" s="252" customFormat="1" ht="13" customHeight="1" x14ac:dyDescent="0.2">
      <c r="A116" s="291"/>
      <c r="B116" s="300" t="s">
        <v>191</v>
      </c>
      <c r="C116" s="301"/>
      <c r="D116" s="302"/>
      <c r="E116" s="302"/>
      <c r="F116" s="302"/>
      <c r="G116" s="302"/>
      <c r="H116" s="302"/>
      <c r="I116" s="302"/>
      <c r="J116" s="302"/>
      <c r="K116" s="302"/>
      <c r="L116" s="302"/>
      <c r="M116" s="302"/>
      <c r="N116" s="302"/>
      <c r="O116" s="302"/>
      <c r="P116" s="302"/>
    </row>
    <row r="117" spans="1:16" s="252" customFormat="1" ht="12" customHeight="1" x14ac:dyDescent="0.2">
      <c r="A117" s="307"/>
      <c r="B117" s="300" t="s">
        <v>192</v>
      </c>
      <c r="C117" s="304"/>
      <c r="D117" s="305"/>
      <c r="E117" s="305"/>
      <c r="F117" s="305"/>
      <c r="G117" s="305"/>
      <c r="H117" s="305"/>
      <c r="I117" s="305"/>
      <c r="J117" s="305"/>
      <c r="K117" s="305"/>
      <c r="L117" s="305"/>
      <c r="M117" s="305"/>
      <c r="N117" s="305"/>
      <c r="O117" s="305"/>
      <c r="P117" s="305"/>
    </row>
    <row r="118" spans="1:16" s="252" customFormat="1" ht="12" customHeight="1" x14ac:dyDescent="0.2">
      <c r="A118" s="307"/>
      <c r="B118" s="300" t="s">
        <v>193</v>
      </c>
      <c r="C118" s="301"/>
      <c r="D118" s="305"/>
      <c r="E118" s="305"/>
      <c r="F118" s="305"/>
      <c r="G118" s="305"/>
      <c r="H118" s="305"/>
      <c r="I118" s="305"/>
      <c r="J118" s="305"/>
      <c r="K118" s="305"/>
      <c r="L118" s="305"/>
      <c r="M118" s="305"/>
      <c r="N118" s="305"/>
      <c r="O118" s="305"/>
      <c r="P118" s="305"/>
    </row>
    <row r="119" spans="1:16" s="252" customFormat="1" ht="12" customHeight="1" x14ac:dyDescent="0.2">
      <c r="A119" s="307"/>
      <c r="B119" s="300" t="s">
        <v>194</v>
      </c>
      <c r="C119" s="304"/>
      <c r="D119" s="306"/>
      <c r="E119" s="306"/>
      <c r="F119" s="306"/>
      <c r="G119" s="306"/>
      <c r="H119" s="306"/>
      <c r="I119" s="306"/>
      <c r="J119" s="306"/>
      <c r="K119" s="306"/>
      <c r="L119" s="306"/>
      <c r="M119" s="306"/>
      <c r="N119" s="306"/>
      <c r="O119" s="306"/>
      <c r="P119" s="306"/>
    </row>
    <row r="120" spans="1:16" ht="16" x14ac:dyDescent="0.2">
      <c r="A120" s="186"/>
      <c r="B120" s="183"/>
      <c r="C120" s="165"/>
      <c r="D120" s="170"/>
      <c r="E120" s="170"/>
      <c r="F120" s="170"/>
      <c r="G120" s="170"/>
      <c r="H120" s="170"/>
      <c r="I120" s="170"/>
      <c r="J120" s="170"/>
      <c r="K120" s="170"/>
      <c r="L120" s="170"/>
      <c r="M120" s="170"/>
      <c r="N120" s="170"/>
      <c r="O120" s="170"/>
      <c r="P120" s="170"/>
    </row>
    <row r="121" spans="1:16" ht="16" x14ac:dyDescent="0.2">
      <c r="A121" s="293" t="s">
        <v>216</v>
      </c>
      <c r="B121" s="164" t="s">
        <v>191</v>
      </c>
      <c r="C121" s="171"/>
      <c r="D121" s="168">
        <v>1</v>
      </c>
      <c r="E121" s="168">
        <v>1</v>
      </c>
      <c r="F121" s="168">
        <v>1</v>
      </c>
      <c r="G121" s="168">
        <v>1</v>
      </c>
      <c r="H121" s="168">
        <v>1</v>
      </c>
      <c r="I121" s="168">
        <v>1</v>
      </c>
      <c r="J121" s="168">
        <v>1</v>
      </c>
      <c r="K121" s="168">
        <v>1</v>
      </c>
      <c r="L121" s="168">
        <v>1</v>
      </c>
      <c r="M121" s="168">
        <v>1</v>
      </c>
      <c r="N121" s="168">
        <v>1</v>
      </c>
      <c r="O121" s="168">
        <v>1</v>
      </c>
      <c r="P121" s="168"/>
    </row>
    <row r="122" spans="1:16" ht="16" x14ac:dyDescent="0.2">
      <c r="A122" s="163"/>
      <c r="B122" s="164" t="s">
        <v>192</v>
      </c>
      <c r="C122" s="171"/>
      <c r="D122" s="169">
        <v>488.75</v>
      </c>
      <c r="E122" s="169">
        <v>488.75</v>
      </c>
      <c r="F122" s="169">
        <v>485</v>
      </c>
      <c r="G122" s="169">
        <v>488.75</v>
      </c>
      <c r="H122" s="169">
        <v>485</v>
      </c>
      <c r="I122" s="169">
        <v>560</v>
      </c>
      <c r="J122" s="169">
        <v>488.75</v>
      </c>
      <c r="K122" s="169">
        <f>(29/30)*M122</f>
        <v>468.83333333333331</v>
      </c>
      <c r="L122" s="169">
        <v>488.75</v>
      </c>
      <c r="M122" s="169">
        <v>485</v>
      </c>
      <c r="N122" s="169">
        <v>488.75</v>
      </c>
      <c r="O122" s="169">
        <v>485</v>
      </c>
      <c r="P122" s="169"/>
    </row>
    <row r="123" spans="1:16" ht="16" x14ac:dyDescent="0.2">
      <c r="A123" s="163"/>
      <c r="B123" s="164" t="s">
        <v>193</v>
      </c>
      <c r="C123" s="171"/>
      <c r="D123" s="174" t="s">
        <v>195</v>
      </c>
      <c r="E123" s="174" t="s">
        <v>195</v>
      </c>
      <c r="F123" s="174" t="s">
        <v>323</v>
      </c>
      <c r="G123" s="174" t="s">
        <v>195</v>
      </c>
      <c r="H123" s="174" t="s">
        <v>323</v>
      </c>
      <c r="I123" s="174" t="s">
        <v>195</v>
      </c>
      <c r="J123" s="174" t="s">
        <v>195</v>
      </c>
      <c r="K123" s="174" t="s">
        <v>195</v>
      </c>
      <c r="L123" s="174" t="s">
        <v>195</v>
      </c>
      <c r="M123" s="174" t="s">
        <v>323</v>
      </c>
      <c r="N123" s="174" t="s">
        <v>195</v>
      </c>
      <c r="O123" s="174" t="s">
        <v>323</v>
      </c>
      <c r="P123" s="182"/>
    </row>
    <row r="124" spans="1:16" ht="16" x14ac:dyDescent="0.2">
      <c r="A124" s="163"/>
      <c r="B124" s="164" t="s">
        <v>194</v>
      </c>
      <c r="C124" s="167"/>
      <c r="D124" s="170">
        <v>322</v>
      </c>
      <c r="E124" s="170">
        <v>322</v>
      </c>
      <c r="F124" s="170"/>
      <c r="G124" s="170">
        <v>322</v>
      </c>
      <c r="H124" s="170"/>
      <c r="I124" s="170">
        <v>478</v>
      </c>
      <c r="J124" s="170">
        <v>322</v>
      </c>
      <c r="K124" s="170">
        <v>79</v>
      </c>
      <c r="L124" s="170">
        <v>322</v>
      </c>
      <c r="M124" s="170"/>
      <c r="N124" s="170">
        <v>322</v>
      </c>
      <c r="O124" s="170"/>
      <c r="P124" s="170"/>
    </row>
    <row r="125" spans="1:16" ht="16" x14ac:dyDescent="0.2">
      <c r="A125" s="163"/>
      <c r="B125" s="183"/>
      <c r="C125" s="167"/>
      <c r="D125" s="170"/>
      <c r="E125" s="170"/>
      <c r="F125" s="170"/>
      <c r="G125" s="170"/>
      <c r="H125" s="170"/>
      <c r="I125" s="170"/>
      <c r="J125" s="170"/>
      <c r="K125" s="170"/>
      <c r="L125" s="170"/>
      <c r="M125" s="170"/>
      <c r="N125" s="170"/>
      <c r="O125" s="170"/>
      <c r="P125" s="170"/>
    </row>
    <row r="126" spans="1:16" ht="16" x14ac:dyDescent="0.2">
      <c r="A126" s="293" t="s">
        <v>217</v>
      </c>
      <c r="B126" s="164" t="s">
        <v>191</v>
      </c>
      <c r="C126" s="171"/>
      <c r="D126" s="168">
        <v>1</v>
      </c>
      <c r="E126" s="168">
        <v>1</v>
      </c>
      <c r="F126" s="168">
        <v>1</v>
      </c>
      <c r="G126" s="168">
        <v>1</v>
      </c>
      <c r="H126" s="168">
        <v>1</v>
      </c>
      <c r="I126" s="168">
        <v>1</v>
      </c>
      <c r="J126" s="168">
        <v>1</v>
      </c>
      <c r="K126" s="168">
        <v>1</v>
      </c>
      <c r="L126" s="168">
        <v>1</v>
      </c>
      <c r="M126" s="168">
        <v>1</v>
      </c>
      <c r="N126" s="168">
        <v>1</v>
      </c>
      <c r="O126" s="168">
        <v>1</v>
      </c>
      <c r="P126" s="168"/>
    </row>
    <row r="127" spans="1:16" ht="16" x14ac:dyDescent="0.2">
      <c r="A127" s="163"/>
      <c r="B127" s="164" t="s">
        <v>192</v>
      </c>
      <c r="C127" s="167"/>
      <c r="D127" s="170">
        <v>66.5</v>
      </c>
      <c r="E127" s="170">
        <v>75</v>
      </c>
      <c r="F127" s="170">
        <v>68</v>
      </c>
      <c r="G127" s="170">
        <v>68</v>
      </c>
      <c r="H127" s="170">
        <v>75</v>
      </c>
      <c r="I127" s="170">
        <v>79</v>
      </c>
      <c r="J127" s="170">
        <v>68</v>
      </c>
      <c r="K127" s="170">
        <v>60</v>
      </c>
      <c r="L127" s="170">
        <v>68</v>
      </c>
      <c r="M127" s="170">
        <v>75</v>
      </c>
      <c r="N127" s="170">
        <v>68</v>
      </c>
      <c r="O127" s="170">
        <v>75</v>
      </c>
      <c r="P127" s="170"/>
    </row>
    <row r="128" spans="1:16" ht="16" x14ac:dyDescent="0.2">
      <c r="A128" s="163"/>
      <c r="B128" s="164" t="s">
        <v>193</v>
      </c>
      <c r="C128" s="171"/>
      <c r="D128" s="170"/>
      <c r="E128" s="170"/>
      <c r="F128" s="170"/>
      <c r="G128" s="170"/>
      <c r="H128" s="170"/>
      <c r="I128" s="170"/>
      <c r="J128" s="170"/>
      <c r="K128" s="170"/>
      <c r="L128" s="170"/>
      <c r="M128" s="170"/>
      <c r="N128" s="170"/>
      <c r="O128" s="170"/>
      <c r="P128" s="170"/>
    </row>
    <row r="129" spans="1:16" ht="16" x14ac:dyDescent="0.2">
      <c r="A129" s="163"/>
      <c r="B129" s="164" t="s">
        <v>194</v>
      </c>
      <c r="C129" s="167"/>
      <c r="D129" s="170"/>
      <c r="E129" s="170"/>
      <c r="F129" s="170"/>
      <c r="G129" s="170"/>
      <c r="H129" s="170"/>
      <c r="I129" s="170"/>
      <c r="J129" s="170"/>
      <c r="K129" s="170"/>
      <c r="L129" s="170"/>
      <c r="M129" s="170"/>
      <c r="N129" s="170"/>
      <c r="O129" s="170"/>
      <c r="P129" s="170"/>
    </row>
    <row r="130" spans="1:16" ht="16" x14ac:dyDescent="0.2">
      <c r="A130" s="163"/>
      <c r="B130" s="183"/>
      <c r="C130" s="165"/>
      <c r="D130" s="170"/>
      <c r="E130" s="170"/>
      <c r="F130" s="170"/>
      <c r="G130" s="170"/>
      <c r="H130" s="170"/>
      <c r="I130" s="170"/>
      <c r="J130" s="170"/>
      <c r="K130" s="170"/>
      <c r="L130" s="170"/>
      <c r="M130" s="170"/>
      <c r="N130" s="170"/>
      <c r="O130" s="170"/>
      <c r="P130" s="170"/>
    </row>
    <row r="131" spans="1:16" ht="16" x14ac:dyDescent="0.2">
      <c r="A131" s="293" t="s">
        <v>218</v>
      </c>
      <c r="B131" s="164" t="s">
        <v>191</v>
      </c>
      <c r="C131" s="171"/>
      <c r="D131" s="170"/>
      <c r="E131" s="170"/>
      <c r="F131" s="170"/>
      <c r="G131" s="170"/>
      <c r="H131" s="170"/>
      <c r="I131" s="170"/>
      <c r="J131" s="170"/>
      <c r="K131" s="170"/>
      <c r="L131" s="170"/>
      <c r="M131" s="170"/>
      <c r="N131" s="170"/>
      <c r="O131" s="170"/>
      <c r="P131" s="170"/>
    </row>
    <row r="132" spans="1:16" ht="16" x14ac:dyDescent="0.2">
      <c r="A132" s="163"/>
      <c r="B132" s="164" t="s">
        <v>192</v>
      </c>
      <c r="C132" s="167"/>
      <c r="D132" s="170">
        <v>740</v>
      </c>
      <c r="E132" s="170">
        <v>740</v>
      </c>
      <c r="F132" s="170">
        <v>740</v>
      </c>
      <c r="G132" s="170">
        <v>740</v>
      </c>
      <c r="H132" s="170">
        <v>700</v>
      </c>
      <c r="I132" s="170">
        <v>670</v>
      </c>
      <c r="J132" s="170">
        <v>740</v>
      </c>
      <c r="K132" s="169">
        <f>(29/30)*M132</f>
        <v>676.66666666666663</v>
      </c>
      <c r="L132" s="170">
        <v>740</v>
      </c>
      <c r="M132" s="170">
        <v>700</v>
      </c>
      <c r="N132" s="170">
        <v>740</v>
      </c>
      <c r="O132" s="170">
        <v>740</v>
      </c>
      <c r="P132" s="170"/>
    </row>
    <row r="133" spans="1:16" ht="16" x14ac:dyDescent="0.2">
      <c r="A133" s="163"/>
      <c r="B133" s="164" t="s">
        <v>193</v>
      </c>
      <c r="C133" s="171"/>
      <c r="D133" s="170">
        <v>124</v>
      </c>
      <c r="E133" s="170">
        <v>124</v>
      </c>
      <c r="F133" s="170">
        <v>120</v>
      </c>
      <c r="G133" s="170">
        <v>124</v>
      </c>
      <c r="H133" s="170">
        <v>112</v>
      </c>
      <c r="I133" s="170">
        <v>120</v>
      </c>
      <c r="J133" s="170">
        <v>124</v>
      </c>
      <c r="K133" s="169">
        <f>(29/30)*M133</f>
        <v>108.26666666666667</v>
      </c>
      <c r="L133" s="170">
        <v>124</v>
      </c>
      <c r="M133" s="170">
        <v>112</v>
      </c>
      <c r="N133" s="170">
        <v>124</v>
      </c>
      <c r="O133" s="170">
        <v>112</v>
      </c>
      <c r="P133" s="170"/>
    </row>
    <row r="134" spans="1:16" ht="16" x14ac:dyDescent="0.2">
      <c r="A134" s="163"/>
      <c r="B134" s="164" t="s">
        <v>194</v>
      </c>
      <c r="C134" s="167"/>
      <c r="D134" s="170"/>
      <c r="E134" s="170"/>
      <c r="F134" s="170"/>
      <c r="G134" s="170"/>
      <c r="H134" s="170"/>
      <c r="I134" s="170"/>
      <c r="J134" s="170"/>
      <c r="K134" s="170"/>
      <c r="L134" s="170"/>
      <c r="M134" s="170"/>
      <c r="N134" s="170"/>
      <c r="O134" s="170"/>
      <c r="P134" s="170"/>
    </row>
    <row r="135" spans="1:16" ht="16" x14ac:dyDescent="0.2">
      <c r="A135" s="163"/>
      <c r="B135" s="164"/>
      <c r="C135" s="167"/>
      <c r="D135" s="170"/>
      <c r="E135" s="170"/>
      <c r="F135" s="170"/>
      <c r="G135" s="170"/>
      <c r="H135" s="170"/>
      <c r="I135" s="170"/>
      <c r="J135" s="170"/>
      <c r="K135" s="170"/>
      <c r="L135" s="170"/>
      <c r="M135" s="170"/>
      <c r="N135" s="170"/>
      <c r="O135" s="170"/>
      <c r="P135" s="170"/>
    </row>
    <row r="136" spans="1:16" ht="16" x14ac:dyDescent="0.2">
      <c r="A136" s="293" t="s">
        <v>316</v>
      </c>
      <c r="B136" s="164" t="s">
        <v>191</v>
      </c>
      <c r="C136" s="171"/>
      <c r="D136" s="170"/>
      <c r="E136" s="170"/>
      <c r="F136" s="170"/>
      <c r="G136" s="170"/>
      <c r="H136" s="170"/>
      <c r="I136" s="170"/>
      <c r="J136" s="170"/>
      <c r="K136" s="170"/>
      <c r="L136" s="170"/>
      <c r="M136" s="170"/>
      <c r="N136" s="170"/>
      <c r="O136" s="170"/>
      <c r="P136" s="170"/>
    </row>
    <row r="137" spans="1:16" ht="16" x14ac:dyDescent="0.2">
      <c r="A137" s="163"/>
      <c r="B137" s="164" t="s">
        <v>192</v>
      </c>
      <c r="C137" s="167"/>
      <c r="D137" s="170">
        <v>472</v>
      </c>
      <c r="E137" s="170">
        <v>472</v>
      </c>
      <c r="F137" s="170">
        <v>460</v>
      </c>
      <c r="G137" s="170">
        <v>472</v>
      </c>
      <c r="H137" s="170">
        <v>460</v>
      </c>
      <c r="I137" s="170">
        <v>300</v>
      </c>
      <c r="J137" s="170">
        <v>472</v>
      </c>
      <c r="K137" s="169">
        <f>(29/30)*M137</f>
        <v>444.66666666666669</v>
      </c>
      <c r="L137" s="170">
        <v>472</v>
      </c>
      <c r="M137" s="170">
        <v>460</v>
      </c>
      <c r="N137" s="170">
        <v>472</v>
      </c>
      <c r="O137" s="170">
        <v>460</v>
      </c>
      <c r="P137" s="170"/>
    </row>
    <row r="138" spans="1:16" ht="16" x14ac:dyDescent="0.2">
      <c r="A138" s="163"/>
      <c r="B138" s="164" t="s">
        <v>193</v>
      </c>
      <c r="C138" s="171"/>
      <c r="D138" s="170">
        <v>248</v>
      </c>
      <c r="E138" s="170">
        <v>248</v>
      </c>
      <c r="F138" s="170">
        <v>240</v>
      </c>
      <c r="G138" s="170">
        <v>248</v>
      </c>
      <c r="H138" s="170">
        <v>240</v>
      </c>
      <c r="I138" s="169">
        <f>(29/30)*K138</f>
        <v>224.26666666666668</v>
      </c>
      <c r="J138" s="170">
        <v>248</v>
      </c>
      <c r="K138" s="169">
        <f>(29/30)*M138</f>
        <v>232</v>
      </c>
      <c r="L138" s="170">
        <v>248</v>
      </c>
      <c r="M138" s="170">
        <v>240</v>
      </c>
      <c r="N138" s="170">
        <v>248</v>
      </c>
      <c r="O138" s="170">
        <v>240</v>
      </c>
      <c r="P138" s="170"/>
    </row>
    <row r="139" spans="1:16" ht="16" x14ac:dyDescent="0.2">
      <c r="A139" s="163"/>
      <c r="B139" s="164" t="s">
        <v>194</v>
      </c>
      <c r="C139" s="167"/>
      <c r="D139" s="170"/>
      <c r="E139" s="170"/>
      <c r="F139" s="170"/>
      <c r="G139" s="170"/>
      <c r="H139" s="170"/>
      <c r="I139" s="170"/>
      <c r="J139" s="170"/>
      <c r="K139" s="170"/>
      <c r="L139" s="170"/>
      <c r="M139" s="170"/>
      <c r="N139" s="170"/>
      <c r="O139" s="170"/>
      <c r="P139" s="170"/>
    </row>
    <row r="140" spans="1:16" ht="16" x14ac:dyDescent="0.2">
      <c r="A140" s="163"/>
      <c r="B140" s="164"/>
      <c r="C140" s="167"/>
      <c r="D140" s="170"/>
      <c r="E140" s="170"/>
      <c r="F140" s="170"/>
      <c r="G140" s="170"/>
      <c r="H140" s="170"/>
      <c r="I140" s="170"/>
      <c r="J140" s="170"/>
      <c r="K140" s="170"/>
      <c r="L140" s="170"/>
      <c r="M140" s="170"/>
      <c r="N140" s="170"/>
      <c r="O140" s="170"/>
      <c r="P140" s="170"/>
    </row>
    <row r="141" spans="1:16" ht="16" x14ac:dyDescent="0.2">
      <c r="A141" s="293" t="s">
        <v>220</v>
      </c>
      <c r="B141" s="164" t="s">
        <v>191</v>
      </c>
      <c r="C141" s="171"/>
      <c r="D141" s="170"/>
      <c r="E141" s="170"/>
      <c r="F141" s="170"/>
      <c r="G141" s="170"/>
      <c r="H141" s="170"/>
      <c r="I141" s="170"/>
      <c r="J141" s="170"/>
      <c r="K141" s="170"/>
      <c r="L141" s="170"/>
      <c r="M141" s="170"/>
      <c r="N141" s="170"/>
      <c r="O141" s="170"/>
      <c r="P141" s="170"/>
    </row>
    <row r="142" spans="1:16" ht="16" x14ac:dyDescent="0.2">
      <c r="A142" s="163"/>
      <c r="B142" s="164" t="s">
        <v>192</v>
      </c>
      <c r="C142" s="167"/>
      <c r="D142" s="170">
        <v>330</v>
      </c>
      <c r="E142" s="170">
        <v>330</v>
      </c>
      <c r="F142" s="170">
        <v>300</v>
      </c>
      <c r="G142" s="170">
        <v>330</v>
      </c>
      <c r="H142" s="170">
        <v>300</v>
      </c>
      <c r="I142" s="170">
        <v>240</v>
      </c>
      <c r="J142" s="170">
        <v>330</v>
      </c>
      <c r="K142" s="169">
        <f>(29/30)*M142</f>
        <v>290</v>
      </c>
      <c r="L142" s="170">
        <v>330</v>
      </c>
      <c r="M142" s="170">
        <v>300</v>
      </c>
      <c r="N142" s="170">
        <v>330</v>
      </c>
      <c r="O142" s="170">
        <v>300</v>
      </c>
      <c r="P142" s="170"/>
    </row>
    <row r="143" spans="1:16" ht="16" x14ac:dyDescent="0.2">
      <c r="A143" s="163"/>
      <c r="B143" s="164" t="s">
        <v>193</v>
      </c>
      <c r="C143" s="171"/>
      <c r="D143" s="170">
        <v>213</v>
      </c>
      <c r="E143" s="170">
        <v>213</v>
      </c>
      <c r="F143" s="170">
        <v>180</v>
      </c>
      <c r="G143" s="170">
        <v>213</v>
      </c>
      <c r="H143" s="170">
        <v>180</v>
      </c>
      <c r="I143" s="170">
        <v>120</v>
      </c>
      <c r="J143" s="170">
        <v>213</v>
      </c>
      <c r="K143" s="169">
        <f>(29/30)*M143</f>
        <v>174</v>
      </c>
      <c r="L143" s="170">
        <v>213</v>
      </c>
      <c r="M143" s="170">
        <v>180</v>
      </c>
      <c r="N143" s="170">
        <v>213</v>
      </c>
      <c r="O143" s="170">
        <v>180</v>
      </c>
      <c r="P143" s="170"/>
    </row>
    <row r="144" spans="1:16" ht="16" x14ac:dyDescent="0.2">
      <c r="A144" s="163"/>
      <c r="B144" s="164" t="s">
        <v>194</v>
      </c>
      <c r="C144" s="167"/>
      <c r="D144" s="170"/>
      <c r="E144" s="170"/>
      <c r="F144" s="170"/>
      <c r="G144" s="170"/>
      <c r="H144" s="170"/>
      <c r="I144" s="170"/>
      <c r="J144" s="170"/>
      <c r="K144" s="170"/>
      <c r="L144" s="170"/>
      <c r="M144" s="170"/>
      <c r="N144" s="170"/>
      <c r="O144" s="170"/>
      <c r="P144" s="170"/>
    </row>
    <row r="145" spans="1:16" ht="16" x14ac:dyDescent="0.2">
      <c r="A145" s="163"/>
      <c r="B145" s="164"/>
      <c r="C145" s="167"/>
      <c r="D145" s="170"/>
      <c r="E145" s="170"/>
      <c r="F145" s="170"/>
      <c r="G145" s="170"/>
      <c r="H145" s="170"/>
      <c r="I145" s="170"/>
      <c r="J145" s="170"/>
      <c r="K145" s="170"/>
      <c r="L145" s="170"/>
      <c r="M145" s="170"/>
      <c r="N145" s="170"/>
      <c r="O145" s="170"/>
      <c r="P145" s="170"/>
    </row>
    <row r="146" spans="1:16" ht="16" x14ac:dyDescent="0.2">
      <c r="A146" s="293" t="s">
        <v>383</v>
      </c>
      <c r="B146" s="164" t="s">
        <v>191</v>
      </c>
      <c r="C146" s="171"/>
      <c r="D146" s="170"/>
      <c r="E146" s="170"/>
      <c r="F146" s="170"/>
      <c r="G146" s="170"/>
      <c r="H146" s="170"/>
      <c r="I146" s="170"/>
      <c r="J146" s="170"/>
      <c r="K146" s="170"/>
      <c r="L146" s="170"/>
      <c r="M146" s="170"/>
      <c r="N146" s="170"/>
      <c r="O146" s="170"/>
      <c r="P146" s="170"/>
    </row>
    <row r="147" spans="1:16" ht="16" x14ac:dyDescent="0.2">
      <c r="A147" s="163"/>
      <c r="B147" s="164" t="s">
        <v>192</v>
      </c>
      <c r="C147" s="167"/>
      <c r="D147" s="170">
        <v>225</v>
      </c>
      <c r="E147" s="170">
        <v>225</v>
      </c>
      <c r="F147" s="170">
        <v>225</v>
      </c>
      <c r="G147" s="170">
        <v>225</v>
      </c>
      <c r="H147" s="170">
        <v>225</v>
      </c>
      <c r="I147" s="170">
        <v>225</v>
      </c>
      <c r="J147" s="170">
        <v>225</v>
      </c>
      <c r="K147" s="170">
        <v>225</v>
      </c>
      <c r="L147" s="170">
        <v>225</v>
      </c>
      <c r="M147" s="170">
        <v>225</v>
      </c>
      <c r="N147" s="170">
        <v>225</v>
      </c>
      <c r="O147" s="170">
        <v>225</v>
      </c>
      <c r="P147" s="170"/>
    </row>
    <row r="148" spans="1:16" ht="16" x14ac:dyDescent="0.2">
      <c r="A148" s="163"/>
      <c r="B148" s="164" t="s">
        <v>193</v>
      </c>
      <c r="C148" s="171"/>
      <c r="D148" s="170"/>
      <c r="E148" s="170"/>
      <c r="F148" s="170"/>
      <c r="G148" s="170"/>
      <c r="H148" s="170"/>
      <c r="I148" s="170"/>
      <c r="J148" s="170"/>
      <c r="K148" s="170"/>
      <c r="L148" s="170"/>
      <c r="M148" s="170"/>
      <c r="N148" s="170"/>
      <c r="O148" s="170"/>
      <c r="P148" s="170"/>
    </row>
    <row r="149" spans="1:16" ht="16" x14ac:dyDescent="0.2">
      <c r="A149" s="163"/>
      <c r="B149" s="164" t="s">
        <v>194</v>
      </c>
      <c r="C149" s="167"/>
      <c r="D149" s="170"/>
      <c r="E149" s="170"/>
      <c r="F149" s="170"/>
      <c r="G149" s="170"/>
      <c r="H149" s="170"/>
      <c r="I149" s="170"/>
      <c r="J149" s="170"/>
      <c r="K149" s="170"/>
      <c r="L149" s="170"/>
      <c r="M149" s="170"/>
      <c r="N149" s="170"/>
      <c r="O149" s="170"/>
      <c r="P149" s="170"/>
    </row>
    <row r="150" spans="1:16" ht="12" customHeight="1" x14ac:dyDescent="0.2">
      <c r="A150" s="163"/>
      <c r="B150" s="164"/>
      <c r="C150" s="167"/>
      <c r="D150" s="170"/>
      <c r="E150" s="170"/>
      <c r="F150" s="170"/>
      <c r="G150" s="170"/>
      <c r="H150" s="170"/>
      <c r="I150" s="170"/>
      <c r="J150" s="170"/>
      <c r="K150" s="170"/>
      <c r="L150" s="170"/>
      <c r="M150" s="170"/>
      <c r="N150" s="170"/>
      <c r="O150" s="170"/>
      <c r="P150" s="170"/>
    </row>
    <row r="151" spans="1:16" ht="13" customHeight="1" x14ac:dyDescent="0.2">
      <c r="A151" s="186"/>
      <c r="B151" s="164" t="s">
        <v>191</v>
      </c>
      <c r="C151" s="171"/>
      <c r="D151" s="170"/>
      <c r="E151" s="170"/>
      <c r="F151" s="170"/>
      <c r="G151" s="170"/>
      <c r="H151" s="170"/>
      <c r="I151" s="170"/>
      <c r="J151" s="170"/>
      <c r="K151" s="170"/>
      <c r="L151" s="170"/>
      <c r="M151" s="170"/>
      <c r="N151" s="170"/>
      <c r="O151" s="170"/>
      <c r="P151" s="170"/>
    </row>
    <row r="152" spans="1:16" ht="12" customHeight="1" x14ac:dyDescent="0.2">
      <c r="A152" s="163"/>
      <c r="B152" s="164" t="s">
        <v>192</v>
      </c>
      <c r="C152" s="167"/>
      <c r="D152" s="170"/>
      <c r="E152" s="170"/>
      <c r="F152" s="170"/>
      <c r="G152" s="170"/>
      <c r="H152" s="170"/>
      <c r="I152" s="170"/>
      <c r="J152" s="170"/>
      <c r="K152" s="170"/>
      <c r="L152" s="170"/>
      <c r="M152" s="170"/>
      <c r="N152" s="170"/>
      <c r="O152" s="170"/>
      <c r="P152" s="170"/>
    </row>
    <row r="153" spans="1:16" ht="12" customHeight="1" x14ac:dyDescent="0.2">
      <c r="A153" s="163"/>
      <c r="B153" s="164" t="s">
        <v>193</v>
      </c>
      <c r="C153" s="171"/>
      <c r="D153" s="170"/>
      <c r="E153" s="170"/>
      <c r="F153" s="170"/>
      <c r="G153" s="170"/>
      <c r="H153" s="170"/>
      <c r="I153" s="170"/>
      <c r="J153" s="170"/>
      <c r="K153" s="170"/>
      <c r="L153" s="170"/>
      <c r="M153" s="170"/>
      <c r="N153" s="170"/>
      <c r="O153" s="170"/>
      <c r="P153" s="170"/>
    </row>
    <row r="154" spans="1:16" ht="12" customHeight="1" x14ac:dyDescent="0.2">
      <c r="A154" s="163"/>
      <c r="B154" s="164" t="s">
        <v>194</v>
      </c>
      <c r="C154" s="167"/>
      <c r="D154" s="170"/>
      <c r="E154" s="170"/>
      <c r="F154" s="170"/>
      <c r="G154" s="170"/>
      <c r="H154" s="170"/>
      <c r="I154" s="170"/>
      <c r="J154" s="170"/>
      <c r="K154" s="170"/>
      <c r="L154" s="170"/>
      <c r="M154" s="170"/>
      <c r="N154" s="170"/>
      <c r="O154" s="170"/>
      <c r="P154" s="170"/>
    </row>
    <row r="155" spans="1:16" ht="12" customHeight="1" x14ac:dyDescent="0.2">
      <c r="A155" s="163"/>
      <c r="B155" s="164"/>
      <c r="C155" s="167"/>
      <c r="D155" s="170"/>
      <c r="E155" s="170"/>
      <c r="F155" s="170"/>
      <c r="G155" s="170"/>
      <c r="H155" s="170"/>
      <c r="I155" s="170"/>
      <c r="J155" s="170"/>
      <c r="K155" s="170"/>
      <c r="L155" s="170"/>
      <c r="M155" s="170"/>
      <c r="N155" s="170"/>
      <c r="O155" s="170"/>
      <c r="P155" s="170"/>
    </row>
    <row r="156" spans="1:16" ht="13" customHeight="1" x14ac:dyDescent="0.2">
      <c r="A156" s="186"/>
      <c r="B156" s="164" t="s">
        <v>191</v>
      </c>
      <c r="C156" s="171"/>
      <c r="D156" s="170"/>
      <c r="E156" s="170"/>
      <c r="F156" s="170"/>
      <c r="G156" s="170"/>
      <c r="H156" s="170"/>
      <c r="I156" s="170"/>
      <c r="J156" s="170"/>
      <c r="K156" s="170"/>
      <c r="L156" s="170"/>
      <c r="M156" s="170"/>
      <c r="N156" s="170"/>
      <c r="O156" s="170"/>
      <c r="P156" s="170"/>
    </row>
    <row r="157" spans="1:16" ht="12" customHeight="1" x14ac:dyDescent="0.2">
      <c r="A157" s="163"/>
      <c r="B157" s="164" t="s">
        <v>192</v>
      </c>
      <c r="C157" s="167"/>
      <c r="D157" s="170"/>
      <c r="E157" s="170"/>
      <c r="F157" s="170"/>
      <c r="G157" s="170"/>
      <c r="H157" s="170"/>
      <c r="I157" s="170"/>
      <c r="J157" s="170"/>
      <c r="K157" s="170"/>
      <c r="L157" s="170"/>
      <c r="M157" s="170"/>
      <c r="N157" s="170"/>
      <c r="O157" s="170"/>
      <c r="P157" s="170"/>
    </row>
    <row r="158" spans="1:16" ht="12" customHeight="1" x14ac:dyDescent="0.2">
      <c r="A158" s="163"/>
      <c r="B158" s="164" t="s">
        <v>193</v>
      </c>
      <c r="C158" s="171"/>
      <c r="D158" s="170"/>
      <c r="E158" s="170"/>
      <c r="F158" s="170"/>
      <c r="G158" s="170"/>
      <c r="H158" s="170"/>
      <c r="I158" s="170"/>
      <c r="J158" s="170"/>
      <c r="K158" s="170"/>
      <c r="L158" s="170"/>
      <c r="M158" s="170"/>
      <c r="N158" s="170"/>
      <c r="O158" s="170"/>
      <c r="P158" s="170"/>
    </row>
    <row r="159" spans="1:16" ht="12" customHeight="1" x14ac:dyDescent="0.2">
      <c r="A159" s="163"/>
      <c r="B159" s="164" t="s">
        <v>194</v>
      </c>
      <c r="C159" s="167"/>
      <c r="D159" s="170"/>
      <c r="E159" s="170"/>
      <c r="F159" s="170"/>
      <c r="G159" s="170"/>
      <c r="H159" s="170"/>
      <c r="I159" s="170"/>
      <c r="J159" s="170"/>
      <c r="K159" s="170"/>
      <c r="L159" s="170"/>
      <c r="M159" s="170"/>
      <c r="N159" s="170"/>
      <c r="O159" s="170"/>
      <c r="P159" s="170"/>
    </row>
    <row r="160" spans="1:16" ht="12" customHeight="1" x14ac:dyDescent="0.2">
      <c r="A160" s="163"/>
      <c r="B160" s="164"/>
      <c r="C160" s="167"/>
      <c r="D160" s="170"/>
      <c r="E160" s="170"/>
      <c r="F160" s="170"/>
      <c r="G160" s="170"/>
      <c r="H160" s="170"/>
      <c r="I160" s="170"/>
      <c r="J160" s="170"/>
      <c r="K160" s="170"/>
      <c r="L160" s="170"/>
      <c r="M160" s="170"/>
      <c r="N160" s="170"/>
      <c r="O160" s="170"/>
      <c r="P160" s="170"/>
    </row>
    <row r="161" spans="1:16" ht="16" x14ac:dyDescent="0.2">
      <c r="A161" s="186"/>
      <c r="B161" s="164" t="s">
        <v>191</v>
      </c>
      <c r="C161" s="171"/>
      <c r="D161" s="170"/>
      <c r="E161" s="170"/>
      <c r="F161" s="170"/>
      <c r="G161" s="170"/>
      <c r="H161" s="170"/>
      <c r="I161" s="170"/>
      <c r="J161" s="170"/>
      <c r="K161" s="170"/>
      <c r="L161" s="170"/>
      <c r="M161" s="170"/>
      <c r="N161" s="170"/>
      <c r="O161" s="170"/>
      <c r="P161" s="170"/>
    </row>
    <row r="162" spans="1:16" ht="16" x14ac:dyDescent="0.2">
      <c r="A162" s="163"/>
      <c r="B162" s="164" t="s">
        <v>192</v>
      </c>
      <c r="C162" s="167"/>
      <c r="D162" s="170"/>
      <c r="E162" s="170"/>
      <c r="F162" s="170"/>
      <c r="G162" s="170"/>
      <c r="H162" s="170"/>
      <c r="I162" s="170"/>
      <c r="J162" s="170"/>
      <c r="K162" s="170"/>
      <c r="L162" s="170"/>
      <c r="M162" s="170"/>
      <c r="N162" s="170"/>
      <c r="O162" s="170"/>
      <c r="P162" s="170"/>
    </row>
    <row r="163" spans="1:16" ht="16" x14ac:dyDescent="0.2">
      <c r="A163" s="163"/>
      <c r="B163" s="164" t="s">
        <v>193</v>
      </c>
      <c r="C163" s="171"/>
      <c r="D163" s="170"/>
      <c r="E163" s="170"/>
      <c r="F163" s="170"/>
      <c r="G163" s="170"/>
      <c r="H163" s="170"/>
      <c r="I163" s="170"/>
      <c r="J163" s="170"/>
      <c r="K163" s="170"/>
      <c r="L163" s="170"/>
      <c r="M163" s="170"/>
      <c r="N163" s="170"/>
      <c r="O163" s="170"/>
      <c r="P163" s="170"/>
    </row>
    <row r="164" spans="1:16" ht="16" x14ac:dyDescent="0.2">
      <c r="A164" s="163"/>
      <c r="B164" s="164" t="s">
        <v>194</v>
      </c>
      <c r="C164" s="167"/>
      <c r="D164" s="170"/>
      <c r="E164" s="170"/>
      <c r="F164" s="170"/>
      <c r="G164" s="170"/>
      <c r="H164" s="170"/>
      <c r="I164" s="170"/>
      <c r="J164" s="170"/>
      <c r="K164" s="170"/>
      <c r="L164" s="170"/>
      <c r="M164" s="170"/>
      <c r="N164" s="170"/>
      <c r="O164" s="170"/>
      <c r="P164" s="170"/>
    </row>
    <row r="165" spans="1:16" ht="12" customHeight="1" x14ac:dyDescent="0.2">
      <c r="A165" s="163"/>
      <c r="B165" s="164"/>
      <c r="C165" s="167"/>
      <c r="D165" s="170"/>
      <c r="E165" s="170"/>
      <c r="F165" s="170"/>
      <c r="G165" s="170"/>
      <c r="H165" s="170"/>
      <c r="I165" s="170"/>
      <c r="J165" s="170"/>
      <c r="K165" s="170"/>
      <c r="L165" s="170"/>
      <c r="M165" s="170"/>
      <c r="N165" s="170"/>
      <c r="O165" s="170"/>
      <c r="P165" s="170"/>
    </row>
    <row r="166" spans="1:16" ht="12" customHeight="1" x14ac:dyDescent="0.2">
      <c r="A166" s="194"/>
      <c r="B166" s="194"/>
      <c r="C166" s="194"/>
      <c r="D166" s="194"/>
      <c r="E166" s="194"/>
      <c r="F166" s="194"/>
      <c r="G166" s="194"/>
      <c r="H166" s="194"/>
      <c r="I166" s="194"/>
      <c r="J166" s="194"/>
      <c r="K166" s="194"/>
      <c r="L166" s="194"/>
      <c r="M166" s="194"/>
      <c r="N166" s="194"/>
      <c r="O166" s="194"/>
      <c r="P166" s="194"/>
    </row>
    <row r="167" spans="1:16" ht="12" customHeight="1" x14ac:dyDescent="0.2">
      <c r="A167" s="122" t="s">
        <v>221</v>
      </c>
      <c r="B167" s="7"/>
      <c r="C167" s="7"/>
      <c r="D167" s="7"/>
      <c r="E167" s="7"/>
      <c r="F167" s="7"/>
      <c r="G167" s="7"/>
      <c r="H167" s="7"/>
      <c r="I167" s="7"/>
      <c r="J167" s="7"/>
      <c r="K167" s="7"/>
      <c r="L167" s="7"/>
      <c r="M167" s="7"/>
      <c r="N167" s="7"/>
      <c r="O167" s="7"/>
      <c r="P167" s="7"/>
    </row>
    <row r="168" spans="1:16" ht="16" x14ac:dyDescent="0.2">
      <c r="A168" s="195" t="s">
        <v>192</v>
      </c>
      <c r="B168" s="7"/>
      <c r="C168" s="7"/>
      <c r="D168" s="196">
        <f t="shared" ref="D168:P173" si="0">SUMIF($B$5:$B$165,$A168,D$5:D$165)</f>
        <v>9579.75</v>
      </c>
      <c r="E168" s="196">
        <f t="shared" si="0"/>
        <v>9606.25</v>
      </c>
      <c r="F168" s="196">
        <f t="shared" si="0"/>
        <v>9502</v>
      </c>
      <c r="G168" s="196">
        <f t="shared" si="0"/>
        <v>9552.25</v>
      </c>
      <c r="H168" s="196">
        <f t="shared" si="0"/>
        <v>9481</v>
      </c>
      <c r="I168" s="196">
        <f t="shared" si="0"/>
        <v>9099</v>
      </c>
      <c r="J168" s="196">
        <f t="shared" si="0"/>
        <v>9661.25</v>
      </c>
      <c r="K168" s="196">
        <f t="shared" si="0"/>
        <v>9135.0333333333347</v>
      </c>
      <c r="L168" s="196">
        <f t="shared" si="0"/>
        <v>9606.25</v>
      </c>
      <c r="M168" s="196">
        <f t="shared" si="0"/>
        <v>9469</v>
      </c>
      <c r="N168" s="196">
        <f t="shared" si="0"/>
        <v>9616.25</v>
      </c>
      <c r="O168" s="196">
        <f t="shared" si="0"/>
        <v>9611</v>
      </c>
      <c r="P168" s="196">
        <f t="shared" si="0"/>
        <v>0</v>
      </c>
    </row>
    <row r="169" spans="1:16" ht="16" x14ac:dyDescent="0.2">
      <c r="A169" s="195" t="s">
        <v>193</v>
      </c>
      <c r="B169" s="197" t="s">
        <v>222</v>
      </c>
      <c r="C169" s="7"/>
      <c r="D169" s="196">
        <f t="shared" si="0"/>
        <v>3171</v>
      </c>
      <c r="E169" s="196">
        <f t="shared" si="0"/>
        <v>3163</v>
      </c>
      <c r="F169" s="196">
        <f t="shared" si="0"/>
        <v>3063</v>
      </c>
      <c r="G169" s="196">
        <f t="shared" si="0"/>
        <v>3171</v>
      </c>
      <c r="H169" s="196">
        <f t="shared" si="0"/>
        <v>3063</v>
      </c>
      <c r="I169" s="196">
        <f t="shared" si="0"/>
        <v>3043.2666666666669</v>
      </c>
      <c r="J169" s="196">
        <f t="shared" si="0"/>
        <v>3171</v>
      </c>
      <c r="K169" s="196">
        <f t="shared" si="0"/>
        <v>2954.3333333333339</v>
      </c>
      <c r="L169" s="196">
        <f t="shared" si="0"/>
        <v>3163</v>
      </c>
      <c r="M169" s="196">
        <f t="shared" si="0"/>
        <v>3063</v>
      </c>
      <c r="N169" s="196">
        <f t="shared" si="0"/>
        <v>3171</v>
      </c>
      <c r="O169" s="196">
        <f t="shared" si="0"/>
        <v>3055</v>
      </c>
      <c r="P169" s="196">
        <f t="shared" si="0"/>
        <v>0</v>
      </c>
    </row>
    <row r="170" spans="1:16" ht="16" x14ac:dyDescent="0.2">
      <c r="A170" s="195" t="s">
        <v>202</v>
      </c>
      <c r="B170" s="197" t="s">
        <v>223</v>
      </c>
      <c r="C170" s="7"/>
      <c r="D170" s="196">
        <f t="shared" si="0"/>
        <v>757</v>
      </c>
      <c r="E170" s="196">
        <f t="shared" si="0"/>
        <v>757</v>
      </c>
      <c r="F170" s="196">
        <f t="shared" si="0"/>
        <v>724</v>
      </c>
      <c r="G170" s="196">
        <f t="shared" si="0"/>
        <v>757</v>
      </c>
      <c r="H170" s="196">
        <f t="shared" si="0"/>
        <v>724</v>
      </c>
      <c r="I170" s="196">
        <f t="shared" si="0"/>
        <v>700</v>
      </c>
      <c r="J170" s="196">
        <f t="shared" si="0"/>
        <v>757</v>
      </c>
      <c r="K170" s="196">
        <f t="shared" si="0"/>
        <v>700</v>
      </c>
      <c r="L170" s="196">
        <f t="shared" si="0"/>
        <v>757</v>
      </c>
      <c r="M170" s="196">
        <f t="shared" si="0"/>
        <v>724</v>
      </c>
      <c r="N170" s="196">
        <f t="shared" si="0"/>
        <v>757</v>
      </c>
      <c r="O170" s="196">
        <f t="shared" si="0"/>
        <v>724</v>
      </c>
      <c r="P170" s="196">
        <f t="shared" si="0"/>
        <v>0</v>
      </c>
    </row>
    <row r="171" spans="1:16" ht="16" x14ac:dyDescent="0.2">
      <c r="A171" s="195" t="s">
        <v>191</v>
      </c>
      <c r="B171" s="197" t="s">
        <v>224</v>
      </c>
      <c r="C171" s="7"/>
      <c r="D171" s="196">
        <f t="shared" si="0"/>
        <v>2</v>
      </c>
      <c r="E171" s="196">
        <f t="shared" si="0"/>
        <v>2</v>
      </c>
      <c r="F171" s="196">
        <f t="shared" si="0"/>
        <v>2</v>
      </c>
      <c r="G171" s="196">
        <f t="shared" si="0"/>
        <v>2</v>
      </c>
      <c r="H171" s="196">
        <f t="shared" si="0"/>
        <v>2</v>
      </c>
      <c r="I171" s="196">
        <f t="shared" si="0"/>
        <v>2</v>
      </c>
      <c r="J171" s="196">
        <f t="shared" si="0"/>
        <v>2</v>
      </c>
      <c r="K171" s="196">
        <f t="shared" si="0"/>
        <v>2</v>
      </c>
      <c r="L171" s="196">
        <f t="shared" si="0"/>
        <v>2</v>
      </c>
      <c r="M171" s="196">
        <f t="shared" si="0"/>
        <v>2</v>
      </c>
      <c r="N171" s="196">
        <f t="shared" si="0"/>
        <v>2</v>
      </c>
      <c r="O171" s="196">
        <f t="shared" si="0"/>
        <v>2</v>
      </c>
      <c r="P171" s="196">
        <f t="shared" si="0"/>
        <v>0</v>
      </c>
    </row>
    <row r="172" spans="1:16" ht="16" x14ac:dyDescent="0.2">
      <c r="A172" s="195" t="s">
        <v>194</v>
      </c>
      <c r="B172" s="197" t="s">
        <v>225</v>
      </c>
      <c r="C172" s="7"/>
      <c r="D172" s="196">
        <f t="shared" si="0"/>
        <v>2345.3000000000002</v>
      </c>
      <c r="E172" s="196">
        <f t="shared" si="0"/>
        <v>2245.3000000000002</v>
      </c>
      <c r="F172" s="196">
        <f t="shared" si="0"/>
        <v>2525.9</v>
      </c>
      <c r="G172" s="196">
        <f t="shared" si="0"/>
        <v>2245.3000000000002</v>
      </c>
      <c r="H172" s="196">
        <f t="shared" si="0"/>
        <v>2537.9</v>
      </c>
      <c r="I172" s="196">
        <f t="shared" si="0"/>
        <v>2613.6</v>
      </c>
      <c r="J172" s="196">
        <f t="shared" si="0"/>
        <v>2333.3000000000002</v>
      </c>
      <c r="K172" s="196">
        <f t="shared" si="0"/>
        <v>2447.4333333333334</v>
      </c>
      <c r="L172" s="196">
        <f t="shared" si="0"/>
        <v>2345.3000000000002</v>
      </c>
      <c r="M172" s="196">
        <f t="shared" si="0"/>
        <v>2437.9</v>
      </c>
      <c r="N172" s="196">
        <f t="shared" si="0"/>
        <v>2333.3000000000002</v>
      </c>
      <c r="O172" s="196">
        <f t="shared" si="0"/>
        <v>2437.9</v>
      </c>
      <c r="P172" s="196">
        <f t="shared" si="0"/>
        <v>0</v>
      </c>
    </row>
    <row r="173" spans="1:16" ht="16" x14ac:dyDescent="0.2">
      <c r="A173" s="195" t="s">
        <v>206</v>
      </c>
      <c r="B173" s="198"/>
      <c r="C173" s="7"/>
      <c r="D173" s="196">
        <f t="shared" si="0"/>
        <v>0</v>
      </c>
      <c r="E173" s="196">
        <f t="shared" si="0"/>
        <v>0</v>
      </c>
      <c r="F173" s="196">
        <f t="shared" si="0"/>
        <v>0</v>
      </c>
      <c r="G173" s="196">
        <f t="shared" si="0"/>
        <v>0</v>
      </c>
      <c r="H173" s="196">
        <f t="shared" si="0"/>
        <v>0</v>
      </c>
      <c r="I173" s="196">
        <f t="shared" si="0"/>
        <v>0</v>
      </c>
      <c r="J173" s="196">
        <f t="shared" si="0"/>
        <v>0</v>
      </c>
      <c r="K173" s="196">
        <f t="shared" si="0"/>
        <v>0</v>
      </c>
      <c r="L173" s="196">
        <f t="shared" si="0"/>
        <v>0</v>
      </c>
      <c r="M173" s="196">
        <f t="shared" si="0"/>
        <v>0</v>
      </c>
      <c r="N173" s="196">
        <f t="shared" si="0"/>
        <v>0</v>
      </c>
      <c r="O173" s="196">
        <f t="shared" si="0"/>
        <v>0</v>
      </c>
      <c r="P173" s="196">
        <f t="shared" si="0"/>
        <v>0</v>
      </c>
    </row>
    <row r="174" spans="1:16" ht="12" customHeight="1" x14ac:dyDescent="0.2">
      <c r="A174" s="199"/>
      <c r="B174" s="7"/>
      <c r="C174" s="7"/>
      <c r="D174" s="7"/>
      <c r="E174" s="7"/>
      <c r="F174" s="7"/>
      <c r="G174" s="7"/>
      <c r="H174" s="7"/>
      <c r="I174" s="7"/>
      <c r="J174" s="7"/>
      <c r="K174" s="7"/>
      <c r="L174" s="7"/>
      <c r="M174" s="7"/>
      <c r="N174" s="7"/>
      <c r="O174" s="7"/>
      <c r="P174" s="7"/>
    </row>
    <row r="175" spans="1:16" ht="12" customHeight="1" x14ac:dyDescent="0.2">
      <c r="A175" s="200" t="s">
        <v>226</v>
      </c>
      <c r="B175" s="7"/>
      <c r="C175" s="7"/>
      <c r="D175" s="201">
        <f t="shared" ref="D175:P175" si="1">SUM(D168:D174)-SUM(D5:D165)</f>
        <v>0</v>
      </c>
      <c r="E175" s="201">
        <f t="shared" si="1"/>
        <v>0</v>
      </c>
      <c r="F175" s="201">
        <f t="shared" si="1"/>
        <v>-181.39999999999782</v>
      </c>
      <c r="G175" s="201">
        <f t="shared" si="1"/>
        <v>0</v>
      </c>
      <c r="H175" s="201">
        <f t="shared" si="1"/>
        <v>-181.39999999999782</v>
      </c>
      <c r="I175" s="201">
        <f t="shared" si="1"/>
        <v>-6.6000000000003638</v>
      </c>
      <c r="J175" s="201">
        <f t="shared" si="1"/>
        <v>0</v>
      </c>
      <c r="K175" s="201">
        <f t="shared" si="1"/>
        <v>0</v>
      </c>
      <c r="L175" s="201">
        <f t="shared" si="1"/>
        <v>0</v>
      </c>
      <c r="M175" s="201">
        <f t="shared" si="1"/>
        <v>-181.39999999999782</v>
      </c>
      <c r="N175" s="201">
        <f t="shared" si="1"/>
        <v>0</v>
      </c>
      <c r="O175" s="201">
        <f t="shared" si="1"/>
        <v>-181.39999999999782</v>
      </c>
      <c r="P175" s="201">
        <f t="shared" si="1"/>
        <v>0</v>
      </c>
    </row>
    <row r="176" spans="1:16" ht="12" customHeight="1" x14ac:dyDescent="0.2">
      <c r="A176" s="7"/>
      <c r="B176" s="7"/>
      <c r="C176" s="7"/>
      <c r="D176" s="7"/>
      <c r="E176" s="7"/>
      <c r="F176" s="7"/>
      <c r="G176" s="7"/>
      <c r="H176" s="7"/>
      <c r="I176" s="7"/>
      <c r="J176" s="7"/>
      <c r="K176" s="7"/>
      <c r="L176" s="7"/>
      <c r="M176" s="7"/>
      <c r="N176" s="7"/>
      <c r="O176" s="7"/>
      <c r="P176" s="7"/>
    </row>
    <row r="177" spans="1:16" ht="12" customHeight="1" thickBot="1" x14ac:dyDescent="0.25">
      <c r="A177" s="329"/>
      <c r="B177" s="329"/>
      <c r="C177" s="329"/>
      <c r="D177" s="329"/>
      <c r="E177" s="329"/>
      <c r="F177" s="329"/>
      <c r="G177" s="329"/>
      <c r="H177" s="329"/>
      <c r="I177" s="329"/>
      <c r="J177" s="329"/>
      <c r="K177" s="329"/>
      <c r="L177" s="329"/>
      <c r="M177" s="329"/>
      <c r="N177" s="329"/>
      <c r="O177" s="329"/>
      <c r="P177" s="329"/>
    </row>
    <row r="178" spans="1:16" ht="16" x14ac:dyDescent="0.2">
      <c r="A178" s="330" t="s">
        <v>227</v>
      </c>
      <c r="B178" s="331"/>
      <c r="C178" s="331"/>
      <c r="D178" s="331"/>
      <c r="E178" s="331"/>
      <c r="F178" s="331"/>
      <c r="G178" s="331"/>
      <c r="H178" s="331"/>
      <c r="I178" s="331"/>
      <c r="J178" s="331"/>
      <c r="K178" s="331"/>
      <c r="L178" s="331"/>
      <c r="M178" s="331"/>
      <c r="N178" s="331"/>
      <c r="O178" s="331"/>
      <c r="P178" s="331"/>
    </row>
    <row r="179" spans="1:16" ht="16" x14ac:dyDescent="0.2">
      <c r="A179" s="202" t="s">
        <v>181</v>
      </c>
      <c r="B179" s="203"/>
      <c r="C179" s="204"/>
      <c r="D179" s="205" t="str">
        <f>CONCATENATE("Jul '",MID('Proposed Budget'!$R$5,3,2))</f>
        <v>Jul '25</v>
      </c>
      <c r="E179" s="205" t="str">
        <f>CONCATENATE("Aug '",MID('Proposed Budget'!$R$5,3,2))</f>
        <v>Aug '25</v>
      </c>
      <c r="F179" s="205" t="str">
        <f>CONCATENATE("Sep '",MID('Proposed Budget'!$R$5,3,2))</f>
        <v>Sep '25</v>
      </c>
      <c r="G179" s="205" t="str">
        <f>CONCATENATE("Oct '",MID('Proposed Budget'!$R$5,3,2))</f>
        <v>Oct '25</v>
      </c>
      <c r="H179" s="205" t="str">
        <f>CONCATENATE("Nov '",MID('Proposed Budget'!$R$5,3,2))</f>
        <v>Nov '25</v>
      </c>
      <c r="I179" s="205" t="str">
        <f>CONCATENATE("Dec '",MID('Proposed Budget'!$R$5,3,2))</f>
        <v>Dec '25</v>
      </c>
      <c r="J179" s="205" t="str">
        <f>CONCATENATE("Jan '",MID('Proposed Budget'!$R$5,6,2))</f>
        <v>Jan '26</v>
      </c>
      <c r="K179" s="205" t="str">
        <f>CONCATENATE("Feb '",MID('Proposed Budget'!$R$5,6,2))</f>
        <v>Feb '26</v>
      </c>
      <c r="L179" s="205" t="str">
        <f>CONCATENATE("Mar '",MID('Proposed Budget'!$R$5,6,2))</f>
        <v>Mar '26</v>
      </c>
      <c r="M179" s="205" t="str">
        <f>CONCATENATE("Apr '",MID('Proposed Budget'!$R$5,6,2))</f>
        <v>Apr '26</v>
      </c>
      <c r="N179" s="205" t="str">
        <f>CONCATENATE("May '",MID('Proposed Budget'!$R$5,6,2))</f>
        <v>May '26</v>
      </c>
      <c r="O179" s="205" t="str">
        <f>CONCATENATE("Jun '",MID('Proposed Budget'!$R$5,6,2))</f>
        <v>Jun '26</v>
      </c>
      <c r="P179" s="205"/>
    </row>
    <row r="180" spans="1:16" ht="16" x14ac:dyDescent="0.2">
      <c r="A180" s="163"/>
      <c r="B180" s="164"/>
      <c r="C180" s="175"/>
      <c r="D180" s="175"/>
      <c r="E180" s="175"/>
      <c r="F180" s="175"/>
      <c r="G180" s="175"/>
      <c r="H180" s="175"/>
      <c r="I180" s="175"/>
      <c r="J180" s="175"/>
      <c r="K180" s="175"/>
      <c r="L180" s="175"/>
      <c r="M180" s="175"/>
      <c r="N180" s="175"/>
      <c r="O180" s="175"/>
      <c r="P180" s="175"/>
    </row>
    <row r="181" spans="1:16" ht="16" x14ac:dyDescent="0.2">
      <c r="A181" s="186" t="s">
        <v>156</v>
      </c>
      <c r="B181" s="206" t="s">
        <v>228</v>
      </c>
      <c r="C181" s="175"/>
      <c r="D181" s="207">
        <v>1</v>
      </c>
      <c r="E181" s="207">
        <v>1</v>
      </c>
      <c r="F181" s="207">
        <v>1</v>
      </c>
      <c r="G181" s="207">
        <v>1</v>
      </c>
      <c r="H181" s="207">
        <v>1</v>
      </c>
      <c r="I181" s="207">
        <v>1</v>
      </c>
      <c r="J181" s="207">
        <v>1</v>
      </c>
      <c r="K181" s="207">
        <v>1</v>
      </c>
      <c r="L181" s="207">
        <v>1</v>
      </c>
      <c r="M181" s="207">
        <v>1</v>
      </c>
      <c r="N181" s="207">
        <v>1</v>
      </c>
      <c r="O181" s="207">
        <v>1</v>
      </c>
      <c r="P181" s="207"/>
    </row>
    <row r="182" spans="1:16" ht="16" x14ac:dyDescent="0.2">
      <c r="A182" s="186" t="s">
        <v>158</v>
      </c>
      <c r="B182" s="206" t="s">
        <v>228</v>
      </c>
      <c r="C182" s="175"/>
      <c r="D182" s="207">
        <v>2</v>
      </c>
      <c r="E182" s="207">
        <v>2</v>
      </c>
      <c r="F182" s="207">
        <v>2</v>
      </c>
      <c r="G182" s="207">
        <v>2</v>
      </c>
      <c r="H182" s="207">
        <v>2</v>
      </c>
      <c r="I182" s="207">
        <v>2</v>
      </c>
      <c r="J182" s="207">
        <v>2</v>
      </c>
      <c r="K182" s="207">
        <v>2</v>
      </c>
      <c r="L182" s="207">
        <v>2</v>
      </c>
      <c r="M182" s="207">
        <v>2</v>
      </c>
      <c r="N182" s="207">
        <v>2</v>
      </c>
      <c r="O182" s="207">
        <v>2</v>
      </c>
      <c r="P182" s="207"/>
    </row>
    <row r="183" spans="1:16" ht="16" x14ac:dyDescent="0.2">
      <c r="A183" s="186" t="s">
        <v>159</v>
      </c>
      <c r="B183" s="206" t="s">
        <v>228</v>
      </c>
      <c r="C183" s="175"/>
      <c r="D183" s="207">
        <v>1</v>
      </c>
      <c r="E183" s="207">
        <v>1</v>
      </c>
      <c r="F183" s="207">
        <v>1</v>
      </c>
      <c r="G183" s="207">
        <v>1</v>
      </c>
      <c r="H183" s="207">
        <v>1</v>
      </c>
      <c r="I183" s="207">
        <v>1</v>
      </c>
      <c r="J183" s="207">
        <v>1</v>
      </c>
      <c r="K183" s="207">
        <v>1</v>
      </c>
      <c r="L183" s="207">
        <v>1</v>
      </c>
      <c r="M183" s="207">
        <v>1</v>
      </c>
      <c r="N183" s="207">
        <v>1</v>
      </c>
      <c r="O183" s="207">
        <v>1</v>
      </c>
      <c r="P183" s="207">
        <v>380</v>
      </c>
    </row>
    <row r="184" spans="1:16" ht="16" x14ac:dyDescent="0.2">
      <c r="A184" s="208" t="s">
        <v>160</v>
      </c>
      <c r="B184" s="206" t="s">
        <v>228</v>
      </c>
      <c r="C184" s="175"/>
      <c r="D184" s="207">
        <v>2</v>
      </c>
      <c r="E184" s="207">
        <v>2</v>
      </c>
      <c r="F184" s="207">
        <v>2</v>
      </c>
      <c r="G184" s="207">
        <v>2</v>
      </c>
      <c r="H184" s="207">
        <v>2</v>
      </c>
      <c r="I184" s="207">
        <v>2</v>
      </c>
      <c r="J184" s="207">
        <v>2</v>
      </c>
      <c r="K184" s="207">
        <v>2</v>
      </c>
      <c r="L184" s="207">
        <v>2</v>
      </c>
      <c r="M184" s="207">
        <v>2</v>
      </c>
      <c r="N184" s="207">
        <v>2</v>
      </c>
      <c r="O184" s="207">
        <v>2</v>
      </c>
      <c r="P184" s="207"/>
    </row>
    <row r="185" spans="1:16" ht="13" customHeight="1" x14ac:dyDescent="0.2">
      <c r="A185" s="163"/>
      <c r="B185" s="206"/>
      <c r="C185" s="175"/>
      <c r="D185" s="207"/>
      <c r="E185" s="207"/>
      <c r="F185" s="207"/>
      <c r="G185" s="207"/>
      <c r="H185" s="207"/>
      <c r="I185" s="207"/>
      <c r="J185" s="207"/>
      <c r="K185" s="207"/>
      <c r="L185" s="207"/>
      <c r="M185" s="207"/>
      <c r="N185" s="207"/>
      <c r="O185" s="207"/>
      <c r="P185" s="207"/>
    </row>
    <row r="186" spans="1:16" ht="13" customHeight="1" x14ac:dyDescent="0.2">
      <c r="A186" s="163"/>
      <c r="B186" s="206"/>
      <c r="C186" s="175"/>
      <c r="D186" s="207"/>
      <c r="E186" s="207"/>
      <c r="F186" s="207"/>
      <c r="G186" s="207"/>
      <c r="H186" s="207"/>
      <c r="I186" s="207"/>
      <c r="J186" s="207"/>
      <c r="K186" s="207"/>
      <c r="L186" s="207"/>
      <c r="M186" s="207"/>
      <c r="N186" s="207"/>
      <c r="O186" s="207"/>
      <c r="P186" s="207"/>
    </row>
    <row r="187" spans="1:16" ht="13" customHeight="1" thickBot="1" x14ac:dyDescent="0.25">
      <c r="A187" s="313"/>
      <c r="B187" s="326"/>
      <c r="C187" s="327"/>
      <c r="D187" s="328"/>
      <c r="E187" s="328"/>
      <c r="F187" s="328"/>
      <c r="G187" s="328"/>
      <c r="H187" s="328"/>
      <c r="I187" s="328"/>
      <c r="J187" s="328"/>
      <c r="K187" s="328"/>
      <c r="L187" s="328"/>
      <c r="M187" s="328"/>
      <c r="N187" s="328"/>
      <c r="O187" s="328"/>
      <c r="P187" s="328"/>
    </row>
    <row r="188" spans="1:16" ht="13" customHeight="1" x14ac:dyDescent="0.2">
      <c r="A188" s="309" t="s">
        <v>313</v>
      </c>
      <c r="B188" s="323"/>
      <c r="C188" s="324"/>
      <c r="D188" s="325"/>
      <c r="E188" s="325"/>
      <c r="F188" s="325"/>
      <c r="G188" s="325"/>
      <c r="H188" s="325"/>
      <c r="I188" s="325"/>
      <c r="J188" s="325"/>
      <c r="K188" s="325"/>
      <c r="L188" s="325"/>
      <c r="M188" s="325"/>
      <c r="N188" s="325"/>
      <c r="O188" s="325"/>
      <c r="P188" s="325"/>
    </row>
    <row r="189" spans="1:16" ht="13" customHeight="1" x14ac:dyDescent="0.2">
      <c r="A189" s="163"/>
      <c r="B189" s="206"/>
      <c r="C189" s="175"/>
      <c r="D189" s="207"/>
      <c r="E189" s="207"/>
      <c r="F189" s="207"/>
      <c r="G189" s="207"/>
      <c r="H189" s="207"/>
      <c r="I189" s="207"/>
      <c r="J189" s="207"/>
      <c r="K189" s="207"/>
      <c r="L189" s="207"/>
      <c r="M189" s="207"/>
      <c r="N189" s="207"/>
      <c r="O189" s="207"/>
      <c r="P189" s="207"/>
    </row>
    <row r="190" spans="1:16" ht="16" x14ac:dyDescent="0.2">
      <c r="A190" s="188" t="s">
        <v>219</v>
      </c>
      <c r="B190" s="270" t="s">
        <v>388</v>
      </c>
      <c r="C190" s="298">
        <v>51</v>
      </c>
      <c r="D190" s="191">
        <v>470</v>
      </c>
      <c r="E190" s="191">
        <v>470</v>
      </c>
      <c r="F190" s="191">
        <v>470</v>
      </c>
      <c r="G190" s="191">
        <v>470</v>
      </c>
      <c r="H190" s="191">
        <v>470</v>
      </c>
      <c r="I190" s="191">
        <v>470</v>
      </c>
      <c r="J190" s="191">
        <v>470</v>
      </c>
      <c r="K190" s="191">
        <v>470</v>
      </c>
      <c r="L190" s="191">
        <v>470</v>
      </c>
      <c r="M190" s="191">
        <v>470</v>
      </c>
      <c r="N190" s="191">
        <v>470</v>
      </c>
      <c r="O190" s="191">
        <v>470</v>
      </c>
      <c r="P190" s="170"/>
    </row>
    <row r="191" spans="1:16" ht="16" x14ac:dyDescent="0.2">
      <c r="A191" s="192"/>
      <c r="B191" s="270" t="s">
        <v>390</v>
      </c>
      <c r="C191" s="193">
        <v>51</v>
      </c>
      <c r="D191" s="191">
        <v>240</v>
      </c>
      <c r="E191" s="191">
        <v>240</v>
      </c>
      <c r="F191" s="191">
        <v>240</v>
      </c>
      <c r="G191" s="191">
        <v>240</v>
      </c>
      <c r="H191" s="191">
        <v>240</v>
      </c>
      <c r="I191" s="191">
        <v>240</v>
      </c>
      <c r="J191" s="191">
        <v>240</v>
      </c>
      <c r="K191" s="191">
        <v>240</v>
      </c>
      <c r="L191" s="191">
        <v>240</v>
      </c>
      <c r="M191" s="191">
        <v>240</v>
      </c>
      <c r="N191" s="191">
        <v>240</v>
      </c>
      <c r="O191" s="191">
        <v>240</v>
      </c>
      <c r="P191" s="170"/>
    </row>
    <row r="192" spans="1:16" ht="16" x14ac:dyDescent="0.2">
      <c r="A192" s="192"/>
      <c r="B192" s="189"/>
      <c r="C192" s="190"/>
      <c r="D192" s="191"/>
      <c r="E192" s="191"/>
      <c r="F192" s="191"/>
      <c r="G192" s="191"/>
      <c r="H192" s="191"/>
      <c r="I192" s="191"/>
      <c r="J192" s="191"/>
      <c r="K192" s="191"/>
      <c r="L192" s="191"/>
      <c r="M192" s="191"/>
      <c r="N192" s="191"/>
      <c r="O192" s="191"/>
      <c r="P192" s="170"/>
    </row>
    <row r="193" spans="1:16" ht="16" x14ac:dyDescent="0.2">
      <c r="A193" s="163"/>
      <c r="B193" s="164"/>
      <c r="C193" s="167"/>
      <c r="D193" s="170"/>
      <c r="E193" s="170"/>
      <c r="F193" s="170"/>
      <c r="G193" s="170"/>
      <c r="H193" s="170"/>
      <c r="I193" s="170"/>
      <c r="J193" s="170"/>
      <c r="K193" s="170"/>
      <c r="L193" s="170"/>
      <c r="M193" s="170"/>
      <c r="N193" s="170"/>
      <c r="O193" s="170"/>
      <c r="P193" s="170"/>
    </row>
    <row r="194" spans="1:16" ht="16" x14ac:dyDescent="0.2">
      <c r="A194" s="294" t="s">
        <v>354</v>
      </c>
      <c r="B194" s="295" t="s">
        <v>388</v>
      </c>
      <c r="C194" s="296">
        <v>34.07</v>
      </c>
      <c r="D194" s="297">
        <v>100</v>
      </c>
      <c r="E194" s="297">
        <v>100</v>
      </c>
      <c r="F194" s="297">
        <v>100</v>
      </c>
      <c r="G194" s="297">
        <v>100</v>
      </c>
      <c r="H194" s="297">
        <v>100</v>
      </c>
      <c r="I194" s="297">
        <v>100</v>
      </c>
      <c r="J194" s="297">
        <v>100</v>
      </c>
      <c r="K194" s="297">
        <v>100</v>
      </c>
      <c r="L194" s="297">
        <v>100</v>
      </c>
      <c r="M194" s="297">
        <v>100</v>
      </c>
      <c r="N194" s="297">
        <v>100</v>
      </c>
      <c r="O194" s="297">
        <v>100</v>
      </c>
      <c r="P194" s="170"/>
    </row>
    <row r="195" spans="1:16" ht="16" x14ac:dyDescent="0.2">
      <c r="A195" s="294"/>
      <c r="B195" s="295" t="s">
        <v>390</v>
      </c>
      <c r="C195" s="296">
        <v>32.5</v>
      </c>
      <c r="D195" s="297">
        <v>50</v>
      </c>
      <c r="E195" s="297">
        <v>50</v>
      </c>
      <c r="F195" s="297">
        <v>50</v>
      </c>
      <c r="G195" s="297">
        <v>50</v>
      </c>
      <c r="H195" s="297">
        <v>50</v>
      </c>
      <c r="I195" s="297">
        <v>50</v>
      </c>
      <c r="J195" s="297">
        <v>50</v>
      </c>
      <c r="K195" s="297">
        <v>50</v>
      </c>
      <c r="L195" s="297">
        <v>50</v>
      </c>
      <c r="M195" s="297">
        <v>50</v>
      </c>
      <c r="N195" s="297">
        <v>50</v>
      </c>
      <c r="O195" s="297">
        <v>50</v>
      </c>
      <c r="P195" s="170"/>
    </row>
    <row r="196" spans="1:16" ht="16" x14ac:dyDescent="0.2">
      <c r="A196" s="294"/>
      <c r="B196" s="295" t="s">
        <v>392</v>
      </c>
      <c r="C196" s="296">
        <v>1020.08</v>
      </c>
      <c r="D196" s="297">
        <v>1</v>
      </c>
      <c r="E196" s="297">
        <v>1</v>
      </c>
      <c r="F196" s="297">
        <v>1</v>
      </c>
      <c r="G196" s="297">
        <v>1</v>
      </c>
      <c r="H196" s="297">
        <v>1</v>
      </c>
      <c r="I196" s="297">
        <v>1</v>
      </c>
      <c r="J196" s="297">
        <v>1</v>
      </c>
      <c r="K196" s="297">
        <v>1</v>
      </c>
      <c r="L196" s="297">
        <v>1</v>
      </c>
      <c r="M196" s="297">
        <v>1</v>
      </c>
      <c r="N196" s="297">
        <v>1</v>
      </c>
      <c r="O196" s="297">
        <v>1</v>
      </c>
      <c r="P196" s="170"/>
    </row>
    <row r="197" spans="1:16" ht="16" x14ac:dyDescent="0.2">
      <c r="A197" s="163"/>
      <c r="B197" s="164"/>
      <c r="C197" s="167"/>
      <c r="D197" s="170"/>
      <c r="E197" s="170"/>
      <c r="F197" s="170"/>
      <c r="G197" s="170"/>
      <c r="H197" s="170"/>
      <c r="I197" s="170"/>
      <c r="J197" s="170"/>
      <c r="K197" s="170"/>
      <c r="L197" s="170"/>
      <c r="M197" s="170"/>
      <c r="N197" s="170"/>
      <c r="O197" s="170"/>
      <c r="P197" s="170"/>
    </row>
    <row r="198" spans="1:16" ht="16" x14ac:dyDescent="0.2">
      <c r="A198" s="294" t="s">
        <v>203</v>
      </c>
      <c r="B198" s="295" t="s">
        <v>388</v>
      </c>
      <c r="C198" s="296">
        <v>34.07</v>
      </c>
      <c r="D198" s="297">
        <v>121</v>
      </c>
      <c r="E198" s="297">
        <v>121</v>
      </c>
      <c r="F198" s="297">
        <v>121</v>
      </c>
      <c r="G198" s="297">
        <v>121</v>
      </c>
      <c r="H198" s="297">
        <v>121</v>
      </c>
      <c r="I198" s="297">
        <v>121</v>
      </c>
      <c r="J198" s="297">
        <v>121</v>
      </c>
      <c r="K198" s="297">
        <v>121</v>
      </c>
      <c r="L198" s="297">
        <v>121</v>
      </c>
      <c r="M198" s="297">
        <v>121</v>
      </c>
      <c r="N198" s="297">
        <v>121</v>
      </c>
      <c r="O198" s="297">
        <v>121</v>
      </c>
      <c r="P198" s="170"/>
    </row>
    <row r="199" spans="1:16" ht="16" x14ac:dyDescent="0.2">
      <c r="A199" s="294"/>
      <c r="B199" s="295" t="s">
        <v>389</v>
      </c>
      <c r="C199" s="296">
        <v>36.57</v>
      </c>
      <c r="D199" s="297">
        <v>99</v>
      </c>
      <c r="E199" s="297">
        <v>99</v>
      </c>
      <c r="F199" s="297">
        <v>99</v>
      </c>
      <c r="G199" s="297">
        <v>99</v>
      </c>
      <c r="H199" s="297">
        <v>99</v>
      </c>
      <c r="I199" s="297">
        <v>99</v>
      </c>
      <c r="J199" s="297">
        <v>99</v>
      </c>
      <c r="K199" s="297">
        <v>99</v>
      </c>
      <c r="L199" s="297">
        <v>99</v>
      </c>
      <c r="M199" s="297">
        <v>99</v>
      </c>
      <c r="N199" s="297">
        <v>99</v>
      </c>
      <c r="O199" s="297">
        <v>99</v>
      </c>
      <c r="P199" s="170"/>
    </row>
    <row r="200" spans="1:16" ht="16" x14ac:dyDescent="0.2">
      <c r="A200" s="294"/>
      <c r="B200" s="295" t="s">
        <v>390</v>
      </c>
      <c r="C200" s="296">
        <v>32.5</v>
      </c>
      <c r="D200" s="297">
        <v>220</v>
      </c>
      <c r="E200" s="297">
        <v>220</v>
      </c>
      <c r="F200" s="297">
        <v>220</v>
      </c>
      <c r="G200" s="297">
        <v>220</v>
      </c>
      <c r="H200" s="297">
        <v>220</v>
      </c>
      <c r="I200" s="297">
        <v>220</v>
      </c>
      <c r="J200" s="297">
        <v>220</v>
      </c>
      <c r="K200" s="297">
        <v>220</v>
      </c>
      <c r="L200" s="297">
        <v>220</v>
      </c>
      <c r="M200" s="297">
        <v>220</v>
      </c>
      <c r="N200" s="297">
        <v>220</v>
      </c>
      <c r="O200" s="297">
        <v>220</v>
      </c>
      <c r="P200" s="170"/>
    </row>
    <row r="201" spans="1:16" ht="16" x14ac:dyDescent="0.2">
      <c r="A201" s="294"/>
      <c r="B201" s="295" t="s">
        <v>391</v>
      </c>
      <c r="C201" s="296">
        <v>0.67</v>
      </c>
      <c r="D201" s="297">
        <v>60</v>
      </c>
      <c r="E201" s="297">
        <v>70</v>
      </c>
      <c r="F201" s="297">
        <v>80</v>
      </c>
      <c r="G201" s="297">
        <v>60</v>
      </c>
      <c r="H201" s="297">
        <v>70</v>
      </c>
      <c r="I201" s="297">
        <v>80</v>
      </c>
      <c r="J201" s="297">
        <v>60</v>
      </c>
      <c r="K201" s="297">
        <v>70</v>
      </c>
      <c r="L201" s="297">
        <v>80</v>
      </c>
      <c r="M201" s="297">
        <v>60</v>
      </c>
      <c r="N201" s="297">
        <v>70</v>
      </c>
      <c r="O201" s="297">
        <v>80</v>
      </c>
      <c r="P201" s="170"/>
    </row>
    <row r="202" spans="1:16" ht="16" x14ac:dyDescent="0.2">
      <c r="A202" s="294"/>
      <c r="B202" s="295" t="s">
        <v>392</v>
      </c>
      <c r="C202" s="296">
        <v>100</v>
      </c>
      <c r="D202" s="297">
        <v>2</v>
      </c>
      <c r="E202" s="297">
        <v>2</v>
      </c>
      <c r="F202" s="297">
        <v>2</v>
      </c>
      <c r="G202" s="297">
        <v>2</v>
      </c>
      <c r="H202" s="297">
        <v>2</v>
      </c>
      <c r="I202" s="297">
        <v>2</v>
      </c>
      <c r="J202" s="297">
        <v>2</v>
      </c>
      <c r="K202" s="297">
        <v>2</v>
      </c>
      <c r="L202" s="297">
        <v>2</v>
      </c>
      <c r="M202" s="297">
        <v>2</v>
      </c>
      <c r="N202" s="297">
        <v>2</v>
      </c>
      <c r="O202" s="297">
        <v>2</v>
      </c>
      <c r="P202" s="170"/>
    </row>
    <row r="203" spans="1:16" ht="16" x14ac:dyDescent="0.2">
      <c r="A203" s="294"/>
      <c r="B203" s="295"/>
      <c r="C203" s="296"/>
      <c r="D203" s="297"/>
      <c r="E203" s="297"/>
      <c r="F203" s="297"/>
      <c r="G203" s="297"/>
      <c r="H203" s="297"/>
      <c r="I203" s="297"/>
      <c r="J203" s="297"/>
      <c r="K203" s="297"/>
      <c r="L203" s="297"/>
      <c r="M203" s="297"/>
      <c r="N203" s="297"/>
      <c r="O203" s="297"/>
      <c r="P203" s="170"/>
    </row>
    <row r="204" spans="1:16" ht="16" x14ac:dyDescent="0.2">
      <c r="A204" s="388" t="s">
        <v>359</v>
      </c>
      <c r="B204" s="389" t="s">
        <v>461</v>
      </c>
      <c r="C204" s="390">
        <v>43</v>
      </c>
      <c r="D204" s="391">
        <v>600</v>
      </c>
      <c r="E204" s="392">
        <v>600</v>
      </c>
      <c r="F204" s="392">
        <v>600</v>
      </c>
      <c r="G204" s="392">
        <v>600</v>
      </c>
      <c r="H204" s="392">
        <v>600</v>
      </c>
      <c r="I204" s="392">
        <v>600</v>
      </c>
      <c r="J204" s="392">
        <v>600</v>
      </c>
      <c r="K204" s="392">
        <v>600</v>
      </c>
      <c r="L204" s="392">
        <v>600</v>
      </c>
      <c r="M204" s="392">
        <v>600</v>
      </c>
      <c r="N204" s="392">
        <v>600</v>
      </c>
      <c r="O204" s="392">
        <v>425</v>
      </c>
      <c r="P204" s="170"/>
    </row>
    <row r="205" spans="1:16" ht="16" x14ac:dyDescent="0.2">
      <c r="A205" s="388"/>
      <c r="B205" s="389" t="s">
        <v>462</v>
      </c>
      <c r="C205" s="390">
        <v>52</v>
      </c>
      <c r="D205" s="391">
        <v>350</v>
      </c>
      <c r="E205" s="391">
        <v>350</v>
      </c>
      <c r="F205" s="391">
        <v>350</v>
      </c>
      <c r="G205" s="391">
        <v>350</v>
      </c>
      <c r="H205" s="391">
        <v>350</v>
      </c>
      <c r="I205" s="391">
        <v>350</v>
      </c>
      <c r="J205" s="391">
        <v>350</v>
      </c>
      <c r="K205" s="391">
        <v>350</v>
      </c>
      <c r="L205" s="391">
        <v>350</v>
      </c>
      <c r="M205" s="391">
        <v>350</v>
      </c>
      <c r="N205" s="391">
        <v>350</v>
      </c>
      <c r="O205" s="391">
        <v>350</v>
      </c>
      <c r="P205" s="170"/>
    </row>
    <row r="206" spans="1:16" ht="16" x14ac:dyDescent="0.2">
      <c r="A206" s="388"/>
      <c r="B206" s="389" t="s">
        <v>390</v>
      </c>
      <c r="C206" s="390">
        <v>34</v>
      </c>
      <c r="D206" s="391">
        <v>450</v>
      </c>
      <c r="E206" s="392">
        <v>450</v>
      </c>
      <c r="F206" s="392">
        <v>425</v>
      </c>
      <c r="G206" s="392">
        <v>450</v>
      </c>
      <c r="H206" s="392">
        <v>425</v>
      </c>
      <c r="I206" s="392">
        <v>450</v>
      </c>
      <c r="J206" s="392">
        <v>450</v>
      </c>
      <c r="K206" s="392">
        <v>400</v>
      </c>
      <c r="L206" s="392">
        <v>450</v>
      </c>
      <c r="M206" s="392">
        <v>425</v>
      </c>
      <c r="N206" s="392">
        <v>450</v>
      </c>
      <c r="O206" s="392">
        <v>425</v>
      </c>
      <c r="P206" s="170"/>
    </row>
    <row r="207" spans="1:16" ht="16" x14ac:dyDescent="0.2">
      <c r="A207" s="294"/>
      <c r="B207" s="295"/>
      <c r="C207" s="296"/>
      <c r="D207" s="297"/>
      <c r="E207" s="297"/>
      <c r="F207" s="297"/>
      <c r="G207" s="297"/>
      <c r="H207" s="297"/>
      <c r="I207" s="297"/>
      <c r="J207" s="297"/>
      <c r="K207" s="297"/>
      <c r="L207" s="297"/>
      <c r="M207" s="297"/>
      <c r="N207" s="297"/>
      <c r="O207" s="297"/>
      <c r="P207" s="170"/>
    </row>
    <row r="208" spans="1:16" ht="12" customHeight="1" x14ac:dyDescent="0.2">
      <c r="A208" s="163"/>
      <c r="B208" s="164"/>
      <c r="C208" s="167"/>
      <c r="D208" s="170"/>
      <c r="E208" s="170"/>
      <c r="F208" s="170"/>
      <c r="G208" s="170"/>
      <c r="H208" s="170"/>
      <c r="I208" s="170"/>
      <c r="J208" s="170"/>
      <c r="K208" s="170"/>
      <c r="L208" s="170"/>
      <c r="M208" s="170"/>
      <c r="N208" s="170"/>
      <c r="O208" s="170"/>
      <c r="P208" s="170"/>
    </row>
    <row r="209" spans="1:16" ht="12" customHeight="1" x14ac:dyDescent="0.2">
      <c r="A209" s="294" t="s">
        <v>366</v>
      </c>
      <c r="B209" s="299"/>
      <c r="C209" s="296"/>
      <c r="D209" s="297">
        <v>2000</v>
      </c>
      <c r="E209" s="297">
        <v>2000</v>
      </c>
      <c r="F209" s="297">
        <v>2000</v>
      </c>
      <c r="G209" s="297">
        <v>2000</v>
      </c>
      <c r="H209" s="297">
        <v>2000</v>
      </c>
      <c r="I209" s="297">
        <v>2000</v>
      </c>
      <c r="J209" s="297">
        <v>2000</v>
      </c>
      <c r="K209" s="297">
        <v>2000</v>
      </c>
      <c r="L209" s="297">
        <v>2000</v>
      </c>
      <c r="M209" s="297">
        <v>2000</v>
      </c>
      <c r="N209" s="297">
        <v>2000</v>
      </c>
      <c r="O209" s="297">
        <v>2000</v>
      </c>
      <c r="P209" s="170"/>
    </row>
    <row r="210" spans="1:16" ht="12" customHeight="1" x14ac:dyDescent="0.2">
      <c r="A210" s="163"/>
      <c r="B210" s="300"/>
      <c r="C210" s="304"/>
      <c r="D210" s="306"/>
      <c r="E210" s="306"/>
      <c r="F210" s="306"/>
      <c r="G210" s="306"/>
      <c r="H210" s="306"/>
      <c r="I210" s="306"/>
      <c r="J210" s="306"/>
      <c r="K210" s="306"/>
      <c r="L210" s="306"/>
      <c r="M210" s="306"/>
      <c r="N210" s="306"/>
      <c r="O210" s="306"/>
      <c r="P210" s="170"/>
    </row>
    <row r="211" spans="1:16" ht="12" customHeight="1" x14ac:dyDescent="0.2">
      <c r="A211" s="163"/>
      <c r="B211" s="300"/>
      <c r="C211" s="304"/>
      <c r="D211" s="306"/>
      <c r="E211" s="306"/>
      <c r="F211" s="306"/>
      <c r="G211" s="306"/>
      <c r="H211" s="306"/>
      <c r="I211" s="306"/>
      <c r="J211" s="306"/>
      <c r="K211" s="306"/>
      <c r="L211" s="306"/>
      <c r="M211" s="306"/>
      <c r="N211" s="306"/>
      <c r="O211" s="306"/>
      <c r="P211" s="170"/>
    </row>
    <row r="212" spans="1:16" ht="16" x14ac:dyDescent="0.2">
      <c r="A212" s="303" t="s">
        <v>403</v>
      </c>
      <c r="B212" s="300"/>
      <c r="C212" s="304"/>
      <c r="E212" s="306"/>
      <c r="F212" s="306"/>
      <c r="G212" s="306"/>
      <c r="H212" s="306"/>
      <c r="I212" s="306"/>
      <c r="J212" s="306"/>
      <c r="K212" s="306"/>
      <c r="L212" s="306"/>
      <c r="M212" s="306"/>
      <c r="N212" s="306"/>
      <c r="O212" s="306"/>
      <c r="P212" s="170"/>
    </row>
    <row r="213" spans="1:16" ht="16" x14ac:dyDescent="0.2">
      <c r="A213" s="322" t="s">
        <v>388</v>
      </c>
      <c r="B213" s="318"/>
      <c r="C213" s="319"/>
      <c r="D213" s="306" cm="1">
        <f t="array" ref="D213:D217">SUMIF(B190:B202,A213:A217,D190:D202)</f>
        <v>691</v>
      </c>
      <c r="E213" s="306" cm="1">
        <f t="array" ref="E213:E217">SUMIF(B190:B202,A213:A217,E190:E202)</f>
        <v>691</v>
      </c>
      <c r="F213" s="306" cm="1">
        <f t="array" ref="F213:F217">SUMIF(B190:B202,A213:A217,F190:F202)</f>
        <v>691</v>
      </c>
      <c r="G213" s="306" cm="1">
        <f t="array" ref="G213:G217">SUMIF(B190:B202,A213:A217,G190:G202)</f>
        <v>691</v>
      </c>
      <c r="H213" s="306" cm="1">
        <f t="array" ref="H213:H217">SUMIF(B190:B202,A213:A217,H190:H202)</f>
        <v>691</v>
      </c>
      <c r="I213" s="306" cm="1">
        <f t="array" ref="I213:I217">SUMIF(B190:B202,A213:A217,I190:I202)</f>
        <v>691</v>
      </c>
      <c r="J213" s="306" cm="1">
        <f t="array" ref="J213:J217">SUMIF(B190:B202,A213:A217,J190:J202)</f>
        <v>691</v>
      </c>
      <c r="K213" s="306" cm="1">
        <f t="array" ref="K213:K217">SUMIF(B190:B202,A213:A217,K190:K202)</f>
        <v>691</v>
      </c>
      <c r="L213" s="306" cm="1">
        <f t="array" ref="L213:L217">SUMIF(B190:B202,A213:A217,L190:L202)</f>
        <v>691</v>
      </c>
      <c r="M213" s="306" cm="1">
        <f t="array" ref="M213:M217">SUMIF(B190:B202,A213:A217,M190:M202)</f>
        <v>691</v>
      </c>
      <c r="N213" s="306" cm="1">
        <f t="array" ref="N213:N217">SUMIF(B190:B202,A213:A217,N190:N202)</f>
        <v>691</v>
      </c>
      <c r="O213" s="306" cm="1">
        <f t="array" ref="O213:O217">SUMIF(B190:B202,A213:A217,O190:O202)</f>
        <v>691</v>
      </c>
      <c r="P213" s="321"/>
    </row>
    <row r="214" spans="1:16" ht="16" x14ac:dyDescent="0.2">
      <c r="A214" s="322" t="s">
        <v>389</v>
      </c>
      <c r="B214" s="318"/>
      <c r="C214" s="319"/>
      <c r="D214" s="320">
        <v>99</v>
      </c>
      <c r="E214" s="320">
        <v>99</v>
      </c>
      <c r="F214" s="320">
        <v>99</v>
      </c>
      <c r="G214" s="320">
        <v>99</v>
      </c>
      <c r="H214" s="320">
        <v>99</v>
      </c>
      <c r="I214" s="320">
        <v>99</v>
      </c>
      <c r="J214" s="320">
        <v>99</v>
      </c>
      <c r="K214" s="320">
        <v>99</v>
      </c>
      <c r="L214" s="320">
        <v>99</v>
      </c>
      <c r="M214" s="320">
        <v>99</v>
      </c>
      <c r="N214" s="320">
        <v>99</v>
      </c>
      <c r="O214" s="320">
        <v>99</v>
      </c>
      <c r="P214" s="321"/>
    </row>
    <row r="215" spans="1:16" ht="16" x14ac:dyDescent="0.2">
      <c r="A215" s="322" t="s">
        <v>390</v>
      </c>
      <c r="B215" s="318"/>
      <c r="C215" s="319"/>
      <c r="D215" s="320">
        <v>510</v>
      </c>
      <c r="E215" s="320">
        <v>510</v>
      </c>
      <c r="F215" s="320">
        <v>510</v>
      </c>
      <c r="G215" s="320">
        <v>510</v>
      </c>
      <c r="H215" s="320">
        <v>510</v>
      </c>
      <c r="I215" s="320">
        <v>510</v>
      </c>
      <c r="J215" s="320">
        <v>510</v>
      </c>
      <c r="K215" s="320">
        <v>510</v>
      </c>
      <c r="L215" s="320">
        <v>510</v>
      </c>
      <c r="M215" s="320">
        <v>510</v>
      </c>
      <c r="N215" s="320">
        <v>510</v>
      </c>
      <c r="O215" s="320">
        <v>510</v>
      </c>
      <c r="P215" s="321"/>
    </row>
    <row r="216" spans="1:16" ht="16" x14ac:dyDescent="0.2">
      <c r="A216" s="322" t="s">
        <v>391</v>
      </c>
      <c r="B216" s="318"/>
      <c r="C216" s="319"/>
      <c r="D216" s="320">
        <v>60</v>
      </c>
      <c r="E216" s="320">
        <v>70</v>
      </c>
      <c r="F216" s="320">
        <v>80</v>
      </c>
      <c r="G216" s="320">
        <v>60</v>
      </c>
      <c r="H216" s="320">
        <v>70</v>
      </c>
      <c r="I216" s="320">
        <v>80</v>
      </c>
      <c r="J216" s="320">
        <v>60</v>
      </c>
      <c r="K216" s="320">
        <v>70</v>
      </c>
      <c r="L216" s="320">
        <v>80</v>
      </c>
      <c r="M216" s="320">
        <v>60</v>
      </c>
      <c r="N216" s="320">
        <v>70</v>
      </c>
      <c r="O216" s="320">
        <v>80</v>
      </c>
      <c r="P216" s="321"/>
    </row>
    <row r="217" spans="1:16" ht="16" x14ac:dyDescent="0.2">
      <c r="A217" s="322" t="s">
        <v>392</v>
      </c>
      <c r="B217" s="318"/>
      <c r="C217" s="319"/>
      <c r="D217" s="320">
        <v>3</v>
      </c>
      <c r="E217" s="320">
        <v>3</v>
      </c>
      <c r="F217" s="320">
        <v>3</v>
      </c>
      <c r="G217" s="320">
        <v>3</v>
      </c>
      <c r="H217" s="320">
        <v>3</v>
      </c>
      <c r="I217" s="320">
        <v>3</v>
      </c>
      <c r="J217" s="320">
        <v>3</v>
      </c>
      <c r="K217" s="320">
        <v>3</v>
      </c>
      <c r="L217" s="320">
        <v>3</v>
      </c>
      <c r="M217" s="320">
        <v>3</v>
      </c>
      <c r="N217" s="320">
        <v>3</v>
      </c>
      <c r="O217" s="320">
        <v>3</v>
      </c>
      <c r="P217" s="321"/>
    </row>
    <row r="218" spans="1:16" ht="17" thickBot="1" x14ac:dyDescent="0.25">
      <c r="A218" s="313"/>
      <c r="B218" s="314"/>
      <c r="C218" s="315"/>
      <c r="D218" s="316"/>
      <c r="E218" s="316"/>
      <c r="F218" s="316"/>
      <c r="G218" s="316"/>
      <c r="H218" s="316"/>
      <c r="I218" s="316"/>
      <c r="J218" s="316"/>
      <c r="K218" s="316"/>
      <c r="L218" s="316"/>
      <c r="M218" s="316"/>
      <c r="N218" s="316"/>
      <c r="O218" s="316"/>
      <c r="P218" s="317"/>
    </row>
    <row r="219" spans="1:16" ht="16" x14ac:dyDescent="0.2">
      <c r="A219" s="309" t="s">
        <v>398</v>
      </c>
      <c r="B219" s="310"/>
      <c r="C219" s="311"/>
      <c r="D219" s="312"/>
      <c r="E219" s="312"/>
      <c r="F219" s="312"/>
      <c r="G219" s="312"/>
      <c r="H219" s="312"/>
      <c r="I219" s="312"/>
      <c r="J219" s="312"/>
      <c r="K219" s="312"/>
      <c r="L219" s="312"/>
      <c r="M219" s="312"/>
      <c r="N219" s="312"/>
      <c r="O219" s="312"/>
      <c r="P219" s="312"/>
    </row>
    <row r="220" spans="1:16" ht="16" x14ac:dyDescent="0.2">
      <c r="A220" s="163"/>
      <c r="B220" s="164"/>
      <c r="C220" s="167"/>
      <c r="D220" s="170"/>
      <c r="E220" s="170"/>
      <c r="F220" s="170"/>
      <c r="G220" s="170"/>
      <c r="H220" s="170"/>
      <c r="I220" s="170"/>
      <c r="J220" s="170"/>
      <c r="K220" s="170"/>
      <c r="L220" s="170"/>
      <c r="M220" s="170"/>
      <c r="N220" s="170"/>
      <c r="O220" s="170"/>
      <c r="P220" s="170"/>
    </row>
    <row r="221" spans="1:16" ht="16" x14ac:dyDescent="0.2">
      <c r="A221" s="338" t="s">
        <v>167</v>
      </c>
      <c r="B221" s="339" t="s">
        <v>399</v>
      </c>
      <c r="C221" s="340">
        <v>52.62</v>
      </c>
      <c r="D221" s="341">
        <v>1040</v>
      </c>
      <c r="E221" s="341">
        <v>1040</v>
      </c>
      <c r="F221" s="341">
        <v>1040</v>
      </c>
      <c r="G221" s="341">
        <v>1040</v>
      </c>
      <c r="H221" s="341">
        <v>1040</v>
      </c>
      <c r="I221" s="341">
        <v>1040</v>
      </c>
      <c r="J221" s="341">
        <v>1040</v>
      </c>
      <c r="K221" s="341">
        <v>1040</v>
      </c>
      <c r="L221" s="341">
        <v>1040</v>
      </c>
      <c r="M221" s="341">
        <v>1040</v>
      </c>
      <c r="N221" s="341">
        <v>1040</v>
      </c>
      <c r="O221" s="341">
        <v>1040</v>
      </c>
      <c r="P221" s="170"/>
    </row>
    <row r="222" spans="1:16" ht="16" x14ac:dyDescent="0.2">
      <c r="A222" s="338" t="s">
        <v>429</v>
      </c>
      <c r="B222" s="378"/>
      <c r="C222" s="340">
        <v>29</v>
      </c>
      <c r="D222" s="341">
        <v>100</v>
      </c>
      <c r="E222" s="341">
        <v>100</v>
      </c>
      <c r="F222" s="341">
        <v>100</v>
      </c>
      <c r="G222" s="341">
        <v>100</v>
      </c>
      <c r="H222" s="341">
        <v>100</v>
      </c>
      <c r="I222" s="341">
        <v>100</v>
      </c>
      <c r="J222" s="341">
        <v>100</v>
      </c>
      <c r="K222" s="341">
        <v>100</v>
      </c>
      <c r="L222" s="341">
        <v>100</v>
      </c>
      <c r="M222" s="341">
        <v>100</v>
      </c>
      <c r="N222" s="341">
        <v>100</v>
      </c>
      <c r="O222" s="341">
        <v>100</v>
      </c>
      <c r="P222" s="170"/>
    </row>
    <row r="223" spans="1:16" ht="16" x14ac:dyDescent="0.2">
      <c r="A223" s="163"/>
      <c r="B223" s="164"/>
      <c r="C223" s="167"/>
      <c r="D223" s="170"/>
      <c r="E223" s="170"/>
      <c r="F223" s="170"/>
      <c r="G223" s="170"/>
      <c r="H223" s="170"/>
      <c r="I223" s="170"/>
      <c r="J223" s="170"/>
      <c r="K223" s="170"/>
      <c r="L223" s="170"/>
      <c r="M223" s="170"/>
      <c r="N223" s="170"/>
      <c r="O223" s="170"/>
      <c r="P223" s="170"/>
    </row>
    <row r="224" spans="1:16" ht="16" x14ac:dyDescent="0.2">
      <c r="A224" s="303" t="s">
        <v>221</v>
      </c>
      <c r="B224" s="164"/>
      <c r="C224" s="167"/>
      <c r="D224" s="170"/>
      <c r="E224" s="170"/>
      <c r="F224" s="170"/>
      <c r="G224" s="170"/>
      <c r="H224" s="170"/>
      <c r="I224" s="170"/>
      <c r="J224" s="170"/>
      <c r="K224" s="170"/>
      <c r="L224" s="170"/>
      <c r="M224" s="170"/>
      <c r="N224" s="170"/>
      <c r="O224" s="170"/>
      <c r="P224" s="170"/>
    </row>
    <row r="225" spans="1:16" ht="16" x14ac:dyDescent="0.2">
      <c r="A225" s="332" t="s">
        <v>399</v>
      </c>
      <c r="B225" s="164"/>
      <c r="C225" s="167"/>
      <c r="D225" s="170">
        <f>SUMIF(B221,A225,D221)</f>
        <v>1040</v>
      </c>
      <c r="E225" s="170">
        <f>SUMIF(B221,A225,E221)</f>
        <v>1040</v>
      </c>
      <c r="F225" s="170">
        <f>SUMIF(B221,A225,F221)</f>
        <v>1040</v>
      </c>
      <c r="G225" s="170">
        <f t="shared" ref="G225:O225" si="2">SUMIF(E221,D225,G221)</f>
        <v>1040</v>
      </c>
      <c r="H225" s="170">
        <f t="shared" si="2"/>
        <v>1040</v>
      </c>
      <c r="I225" s="170">
        <f t="shared" si="2"/>
        <v>1040</v>
      </c>
      <c r="J225" s="170">
        <f t="shared" si="2"/>
        <v>1040</v>
      </c>
      <c r="K225" s="170">
        <f t="shared" si="2"/>
        <v>1040</v>
      </c>
      <c r="L225" s="170">
        <f t="shared" si="2"/>
        <v>1040</v>
      </c>
      <c r="M225" s="170">
        <f t="shared" si="2"/>
        <v>1040</v>
      </c>
      <c r="N225" s="170">
        <f t="shared" si="2"/>
        <v>1040</v>
      </c>
      <c r="O225" s="170">
        <f t="shared" si="2"/>
        <v>1040</v>
      </c>
      <c r="P225" s="170"/>
    </row>
    <row r="226" spans="1:16" ht="12" customHeight="1" x14ac:dyDescent="0.2">
      <c r="A226" s="163"/>
      <c r="B226" s="164"/>
      <c r="C226" s="167"/>
      <c r="D226" s="170"/>
      <c r="E226" s="170"/>
      <c r="F226" s="170"/>
      <c r="G226" s="170"/>
      <c r="H226" s="170"/>
      <c r="I226" s="170"/>
      <c r="J226" s="170"/>
      <c r="K226" s="170"/>
      <c r="L226" s="170"/>
      <c r="M226" s="170"/>
      <c r="N226" s="170"/>
      <c r="O226" s="170"/>
      <c r="P226" s="170"/>
    </row>
    <row r="227" spans="1:16" ht="12" customHeight="1" x14ac:dyDescent="0.2">
      <c r="A227" s="163"/>
      <c r="B227" s="164"/>
      <c r="C227" s="167"/>
      <c r="D227" s="170"/>
      <c r="E227" s="170"/>
      <c r="F227" s="170"/>
      <c r="G227" s="170"/>
      <c r="H227" s="170"/>
      <c r="I227" s="170"/>
      <c r="J227" s="170"/>
      <c r="K227" s="170"/>
      <c r="L227" s="170"/>
      <c r="M227" s="170"/>
      <c r="N227" s="170"/>
      <c r="O227" s="170"/>
      <c r="P227" s="170"/>
    </row>
    <row r="228" spans="1:16" ht="12" customHeight="1" x14ac:dyDescent="0.2">
      <c r="A228" s="163"/>
      <c r="B228" s="164"/>
      <c r="C228" s="167"/>
      <c r="D228" s="170"/>
      <c r="E228" s="170"/>
      <c r="F228" s="170"/>
      <c r="G228" s="170"/>
      <c r="H228" s="170"/>
      <c r="I228" s="170"/>
      <c r="J228" s="170"/>
      <c r="K228" s="170"/>
      <c r="L228" s="170"/>
      <c r="M228" s="170"/>
      <c r="N228" s="170"/>
      <c r="O228" s="170"/>
      <c r="P228" s="170"/>
    </row>
    <row r="229" spans="1:16" ht="12" customHeight="1" x14ac:dyDescent="0.2">
      <c r="A229" s="163"/>
      <c r="B229" s="164"/>
      <c r="C229" s="167"/>
      <c r="D229" s="170"/>
      <c r="E229" s="170"/>
      <c r="F229" s="170"/>
      <c r="G229" s="170"/>
      <c r="H229" s="170"/>
      <c r="I229" s="170"/>
      <c r="J229" s="170"/>
      <c r="K229" s="170"/>
      <c r="L229" s="170"/>
      <c r="M229" s="170"/>
      <c r="N229" s="170"/>
      <c r="O229" s="170"/>
      <c r="P229" s="170"/>
    </row>
  </sheetData>
  <pageMargins left="0.45" right="0.45" top="0.5" bottom="0.75" header="0.3" footer="0.3"/>
  <pageSetup scale="63" orientation="landscape"/>
  <headerFooter>
    <oddFooter>&amp;L&amp;"Calibri,Regular"&amp;12&amp;K000000New Budget Template 2022 2023 v51122(1).xlsx&amp;C&amp;"Calibri,Regular"&amp;12&amp;K000000Hours&amp;R&amp;"Calibri,Regular"&amp;12&amp;K000000Page &amp;P of &amp;N</oddFooter>
  </headerFooter>
  <drawing r:id="rId1"/>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L136"/>
  <sheetViews>
    <sheetView showGridLines="0" topLeftCell="A21" workbookViewId="0">
      <selection activeCell="N29" sqref="N29"/>
    </sheetView>
  </sheetViews>
  <sheetFormatPr baseColWidth="10" defaultColWidth="9" defaultRowHeight="15" customHeight="1" x14ac:dyDescent="0.2"/>
  <cols>
    <col min="1" max="1" width="2.83203125" style="5" customWidth="1"/>
    <col min="2" max="13" width="9" style="5" customWidth="1"/>
    <col min="14" max="16384" width="9" style="5"/>
  </cols>
  <sheetData>
    <row r="1" spans="1:12" ht="15" customHeight="1" x14ac:dyDescent="0.2">
      <c r="A1" s="209" t="s">
        <v>6</v>
      </c>
      <c r="B1" s="210"/>
      <c r="C1" s="210"/>
      <c r="D1" s="210"/>
      <c r="E1" s="210"/>
      <c r="F1" s="210"/>
      <c r="G1" s="210"/>
      <c r="H1" s="210"/>
      <c r="I1" s="210"/>
      <c r="J1" s="210"/>
      <c r="K1" s="210"/>
      <c r="L1" s="92"/>
    </row>
    <row r="2" spans="1:12" ht="15" customHeight="1" x14ac:dyDescent="0.2">
      <c r="A2" s="211" t="s">
        <v>230</v>
      </c>
      <c r="B2" s="212"/>
      <c r="C2" s="212"/>
      <c r="D2" s="212"/>
      <c r="E2" s="212"/>
      <c r="F2" s="212"/>
      <c r="G2" s="212"/>
      <c r="H2" s="212"/>
      <c r="I2" s="212"/>
      <c r="J2" s="212"/>
      <c r="K2" s="212"/>
      <c r="L2" s="213"/>
    </row>
    <row r="3" spans="1:12" ht="15" customHeight="1" x14ac:dyDescent="0.2">
      <c r="A3" s="214"/>
      <c r="B3" s="212"/>
      <c r="C3" s="212"/>
      <c r="D3" s="212"/>
      <c r="E3" s="212"/>
      <c r="F3" s="212"/>
      <c r="G3" s="212"/>
      <c r="H3" s="212"/>
      <c r="I3" s="212"/>
      <c r="J3" s="212"/>
      <c r="K3" s="212"/>
      <c r="L3" s="213"/>
    </row>
    <row r="4" spans="1:12" ht="15" customHeight="1" x14ac:dyDescent="0.2">
      <c r="A4" s="214"/>
      <c r="B4" s="215" t="s">
        <v>231</v>
      </c>
      <c r="C4" s="212"/>
      <c r="D4" s="212"/>
      <c r="E4" s="212"/>
      <c r="F4" s="212"/>
      <c r="G4" s="212"/>
      <c r="H4" s="212"/>
      <c r="I4" s="212"/>
      <c r="J4" s="212"/>
      <c r="K4" s="212"/>
      <c r="L4" s="213"/>
    </row>
    <row r="5" spans="1:12" ht="15" customHeight="1" x14ac:dyDescent="0.2">
      <c r="A5" s="216">
        <v>1</v>
      </c>
      <c r="B5" s="217" t="s">
        <v>232</v>
      </c>
      <c r="C5" s="212"/>
      <c r="D5" s="212"/>
      <c r="E5" s="212"/>
      <c r="F5" s="212"/>
      <c r="G5" s="212"/>
      <c r="H5" s="212"/>
      <c r="I5" s="212"/>
      <c r="J5" s="212"/>
      <c r="K5" s="212"/>
      <c r="L5" s="213"/>
    </row>
    <row r="6" spans="1:12" ht="15" customHeight="1" x14ac:dyDescent="0.2">
      <c r="A6" s="214"/>
      <c r="B6" s="217" t="s">
        <v>233</v>
      </c>
      <c r="C6" s="212"/>
      <c r="D6" s="212"/>
      <c r="E6" s="212"/>
      <c r="F6" s="212"/>
      <c r="G6" s="212"/>
      <c r="H6" s="212"/>
      <c r="I6" s="212"/>
      <c r="J6" s="212"/>
      <c r="K6" s="212"/>
      <c r="L6" s="213"/>
    </row>
    <row r="7" spans="1:12" ht="15" customHeight="1" x14ac:dyDescent="0.2">
      <c r="A7" s="214"/>
      <c r="B7" s="217" t="s">
        <v>234</v>
      </c>
      <c r="C7" s="212"/>
      <c r="D7" s="212"/>
      <c r="E7" s="212"/>
      <c r="F7" s="212"/>
      <c r="G7" s="212"/>
      <c r="H7" s="212"/>
      <c r="I7" s="212"/>
      <c r="J7" s="212"/>
      <c r="K7" s="212"/>
      <c r="L7" s="213"/>
    </row>
    <row r="8" spans="1:12" ht="15" customHeight="1" x14ac:dyDescent="0.2">
      <c r="A8" s="214"/>
      <c r="B8" s="212"/>
      <c r="C8" s="212"/>
      <c r="D8" s="212"/>
      <c r="E8" s="212"/>
      <c r="F8" s="212"/>
      <c r="G8" s="212"/>
      <c r="H8" s="212"/>
      <c r="I8" s="212"/>
      <c r="J8" s="212"/>
      <c r="K8" s="212"/>
      <c r="L8" s="213"/>
    </row>
    <row r="9" spans="1:12" ht="15" customHeight="1" x14ac:dyDescent="0.2">
      <c r="A9" s="214"/>
      <c r="B9" s="212"/>
      <c r="C9" s="212"/>
      <c r="D9" s="212"/>
      <c r="E9" s="212"/>
      <c r="F9" s="212"/>
      <c r="G9" s="212"/>
      <c r="H9" s="212"/>
      <c r="I9" s="212"/>
      <c r="J9" s="212"/>
      <c r="K9" s="212"/>
      <c r="L9" s="213"/>
    </row>
    <row r="10" spans="1:12" ht="15" customHeight="1" x14ac:dyDescent="0.2">
      <c r="A10" s="214"/>
      <c r="B10" s="212"/>
      <c r="C10" s="212"/>
      <c r="D10" s="212"/>
      <c r="E10" s="212"/>
      <c r="F10" s="212"/>
      <c r="G10" s="212"/>
      <c r="H10" s="212"/>
      <c r="I10" s="212"/>
      <c r="J10" s="212"/>
      <c r="K10" s="212"/>
      <c r="L10" s="213"/>
    </row>
    <row r="11" spans="1:12" ht="15" customHeight="1" x14ac:dyDescent="0.2">
      <c r="A11" s="214"/>
      <c r="B11" s="212"/>
      <c r="C11" s="212"/>
      <c r="D11" s="212"/>
      <c r="E11" s="212"/>
      <c r="F11" s="212"/>
      <c r="G11" s="212"/>
      <c r="H11" s="212"/>
      <c r="I11" s="212"/>
      <c r="J11" s="212"/>
      <c r="K11" s="212"/>
      <c r="L11" s="213"/>
    </row>
    <row r="12" spans="1:12" ht="15" customHeight="1" x14ac:dyDescent="0.2">
      <c r="A12" s="214"/>
      <c r="B12" s="212"/>
      <c r="C12" s="212"/>
      <c r="D12" s="212"/>
      <c r="E12" s="212"/>
      <c r="F12" s="212"/>
      <c r="G12" s="212"/>
      <c r="H12" s="212"/>
      <c r="I12" s="212"/>
      <c r="J12" s="212"/>
      <c r="K12" s="212"/>
      <c r="L12" s="213"/>
    </row>
    <row r="13" spans="1:12" ht="15" customHeight="1" x14ac:dyDescent="0.2">
      <c r="A13" s="214"/>
      <c r="B13" s="212"/>
      <c r="C13" s="212"/>
      <c r="D13" s="212"/>
      <c r="E13" s="212"/>
      <c r="F13" s="212"/>
      <c r="G13" s="212"/>
      <c r="H13" s="212"/>
      <c r="I13" s="212"/>
      <c r="J13" s="212"/>
      <c r="K13" s="212"/>
      <c r="L13" s="213"/>
    </row>
    <row r="14" spans="1:12" ht="15" customHeight="1" x14ac:dyDescent="0.2">
      <c r="A14" s="214"/>
      <c r="B14" s="212"/>
      <c r="C14" s="212"/>
      <c r="D14" s="212"/>
      <c r="E14" s="212"/>
      <c r="F14" s="212"/>
      <c r="G14" s="212"/>
      <c r="H14" s="212"/>
      <c r="I14" s="212"/>
      <c r="J14" s="212"/>
      <c r="K14" s="212"/>
      <c r="L14" s="213"/>
    </row>
    <row r="15" spans="1:12" ht="15" customHeight="1" x14ac:dyDescent="0.2">
      <c r="A15" s="214"/>
      <c r="B15" s="212"/>
      <c r="C15" s="212"/>
      <c r="D15" s="212"/>
      <c r="E15" s="212"/>
      <c r="F15" s="212"/>
      <c r="G15" s="212"/>
      <c r="H15" s="212"/>
      <c r="I15" s="212"/>
      <c r="J15" s="212"/>
      <c r="K15" s="212"/>
      <c r="L15" s="213"/>
    </row>
    <row r="16" spans="1:12" ht="15" customHeight="1" x14ac:dyDescent="0.2">
      <c r="A16" s="216">
        <v>2</v>
      </c>
      <c r="B16" s="217" t="s">
        <v>235</v>
      </c>
      <c r="C16" s="212"/>
      <c r="D16" s="212"/>
      <c r="E16" s="212"/>
      <c r="F16" s="212"/>
      <c r="G16" s="212"/>
      <c r="H16" s="212"/>
      <c r="I16" s="212"/>
      <c r="J16" s="212"/>
      <c r="K16" s="212"/>
      <c r="L16" s="213"/>
    </row>
    <row r="17" spans="1:12" ht="15" customHeight="1" x14ac:dyDescent="0.2">
      <c r="A17" s="214"/>
      <c r="B17" s="212"/>
      <c r="C17" s="212"/>
      <c r="D17" s="212"/>
      <c r="E17" s="212"/>
      <c r="F17" s="212"/>
      <c r="G17" s="212"/>
      <c r="H17" s="212"/>
      <c r="I17" s="212"/>
      <c r="J17" s="212"/>
      <c r="K17" s="212"/>
      <c r="L17" s="213"/>
    </row>
    <row r="18" spans="1:12" ht="15" customHeight="1" x14ac:dyDescent="0.2">
      <c r="A18" s="214"/>
      <c r="B18" s="212"/>
      <c r="C18" s="212"/>
      <c r="D18" s="212"/>
      <c r="E18" s="212"/>
      <c r="F18" s="212"/>
      <c r="G18" s="212"/>
      <c r="H18" s="212"/>
      <c r="I18" s="212"/>
      <c r="J18" s="212"/>
      <c r="K18" s="212"/>
      <c r="L18" s="213"/>
    </row>
    <row r="19" spans="1:12" ht="15" customHeight="1" x14ac:dyDescent="0.2">
      <c r="A19" s="214"/>
      <c r="B19" s="212"/>
      <c r="C19" s="212"/>
      <c r="D19" s="212"/>
      <c r="E19" s="212"/>
      <c r="F19" s="212"/>
      <c r="G19" s="212"/>
      <c r="H19" s="212"/>
      <c r="I19" s="212"/>
      <c r="J19" s="212"/>
      <c r="K19" s="212"/>
      <c r="L19" s="213"/>
    </row>
    <row r="20" spans="1:12" ht="15" customHeight="1" x14ac:dyDescent="0.2">
      <c r="A20" s="214"/>
      <c r="B20" s="212"/>
      <c r="C20" s="212"/>
      <c r="D20" s="212"/>
      <c r="E20" s="212"/>
      <c r="F20" s="212"/>
      <c r="G20" s="212"/>
      <c r="H20" s="212"/>
      <c r="I20" s="212"/>
      <c r="J20" s="212"/>
      <c r="K20" s="212"/>
      <c r="L20" s="213"/>
    </row>
    <row r="21" spans="1:12" ht="15" customHeight="1" x14ac:dyDescent="0.2">
      <c r="A21" s="214"/>
      <c r="B21" s="212"/>
      <c r="C21" s="212"/>
      <c r="D21" s="212"/>
      <c r="E21" s="212"/>
      <c r="F21" s="212"/>
      <c r="G21" s="212"/>
      <c r="H21" s="212"/>
      <c r="I21" s="212"/>
      <c r="J21" s="212"/>
      <c r="K21" s="212"/>
      <c r="L21" s="213"/>
    </row>
    <row r="22" spans="1:12" ht="15" customHeight="1" x14ac:dyDescent="0.2">
      <c r="A22" s="214"/>
      <c r="B22" s="212"/>
      <c r="C22" s="212"/>
      <c r="D22" s="212"/>
      <c r="E22" s="212"/>
      <c r="F22" s="212"/>
      <c r="G22" s="212"/>
      <c r="H22" s="212"/>
      <c r="I22" s="212"/>
      <c r="J22" s="212"/>
      <c r="K22" s="212"/>
      <c r="L22" s="213"/>
    </row>
    <row r="23" spans="1:12" ht="15" customHeight="1" x14ac:dyDescent="0.2">
      <c r="A23" s="214"/>
      <c r="B23" s="212"/>
      <c r="C23" s="212"/>
      <c r="D23" s="212"/>
      <c r="E23" s="212"/>
      <c r="F23" s="212"/>
      <c r="G23" s="212"/>
      <c r="H23" s="212"/>
      <c r="I23" s="212"/>
      <c r="J23" s="212"/>
      <c r="K23" s="212"/>
      <c r="L23" s="213"/>
    </row>
    <row r="24" spans="1:12" ht="15" customHeight="1" x14ac:dyDescent="0.2">
      <c r="A24" s="216">
        <v>3</v>
      </c>
      <c r="B24" s="217" t="s">
        <v>236</v>
      </c>
      <c r="C24" s="212"/>
      <c r="D24" s="212"/>
      <c r="E24" s="212"/>
      <c r="F24" s="212"/>
      <c r="G24" s="212"/>
      <c r="H24" s="212"/>
      <c r="I24" s="212"/>
      <c r="J24" s="212"/>
      <c r="K24" s="212"/>
      <c r="L24" s="213"/>
    </row>
    <row r="25" spans="1:12" ht="15" customHeight="1" x14ac:dyDescent="0.2">
      <c r="A25" s="214"/>
      <c r="B25" s="212"/>
      <c r="C25" s="212"/>
      <c r="D25" s="212"/>
      <c r="E25" s="212"/>
      <c r="F25" s="212"/>
      <c r="G25" s="212"/>
      <c r="H25" s="212"/>
      <c r="I25" s="212"/>
      <c r="J25" s="212"/>
      <c r="K25" s="212"/>
      <c r="L25" s="213"/>
    </row>
    <row r="26" spans="1:12" ht="15" customHeight="1" x14ac:dyDescent="0.2">
      <c r="A26" s="214"/>
      <c r="B26" s="212"/>
      <c r="C26" s="212"/>
      <c r="D26" s="212"/>
      <c r="E26" s="212"/>
      <c r="F26" s="212"/>
      <c r="G26" s="212"/>
      <c r="H26" s="212"/>
      <c r="I26" s="212"/>
      <c r="J26" s="212"/>
      <c r="K26" s="212"/>
      <c r="L26" s="213"/>
    </row>
    <row r="27" spans="1:12" ht="15" customHeight="1" x14ac:dyDescent="0.2">
      <c r="A27" s="214"/>
      <c r="B27" s="212"/>
      <c r="C27" s="212"/>
      <c r="D27" s="212"/>
      <c r="E27" s="212"/>
      <c r="F27" s="212"/>
      <c r="G27" s="212"/>
      <c r="H27" s="212"/>
      <c r="I27" s="212"/>
      <c r="J27" s="212"/>
      <c r="K27" s="212"/>
      <c r="L27" s="213"/>
    </row>
    <row r="28" spans="1:12" ht="15" customHeight="1" x14ac:dyDescent="0.2">
      <c r="A28" s="214"/>
      <c r="B28" s="212"/>
      <c r="C28" s="212"/>
      <c r="D28" s="212"/>
      <c r="E28" s="212"/>
      <c r="F28" s="212"/>
      <c r="G28" s="212"/>
      <c r="H28" s="212"/>
      <c r="I28" s="212"/>
      <c r="J28" s="212"/>
      <c r="K28" s="212"/>
      <c r="L28" s="213"/>
    </row>
    <row r="29" spans="1:12" ht="15" customHeight="1" x14ac:dyDescent="0.2">
      <c r="A29" s="216">
        <v>4</v>
      </c>
      <c r="B29" s="217" t="s">
        <v>237</v>
      </c>
      <c r="C29" s="212"/>
      <c r="D29" s="212"/>
      <c r="E29" s="212"/>
      <c r="F29" s="212"/>
      <c r="G29" s="212"/>
      <c r="H29" s="212"/>
      <c r="I29" s="212"/>
      <c r="J29" s="212"/>
      <c r="K29" s="212"/>
      <c r="L29" s="213"/>
    </row>
    <row r="30" spans="1:12" ht="15" customHeight="1" x14ac:dyDescent="0.2">
      <c r="A30" s="214"/>
      <c r="B30" s="217" t="s">
        <v>238</v>
      </c>
      <c r="C30" s="212"/>
      <c r="D30" s="212"/>
      <c r="E30" s="212"/>
      <c r="F30" s="212"/>
      <c r="G30" s="212"/>
      <c r="H30" s="212"/>
      <c r="I30" s="212"/>
      <c r="J30" s="212"/>
      <c r="K30" s="212"/>
      <c r="L30" s="213"/>
    </row>
    <row r="31" spans="1:12" ht="15" customHeight="1" x14ac:dyDescent="0.2">
      <c r="A31" s="214"/>
      <c r="B31" s="217" t="s">
        <v>239</v>
      </c>
      <c r="C31" s="212"/>
      <c r="D31" s="212"/>
      <c r="E31" s="212"/>
      <c r="F31" s="212"/>
      <c r="G31" s="212"/>
      <c r="H31" s="212"/>
      <c r="I31" s="212"/>
      <c r="J31" s="212"/>
      <c r="K31" s="212"/>
      <c r="L31" s="213"/>
    </row>
    <row r="32" spans="1:12" ht="15" customHeight="1" x14ac:dyDescent="0.2">
      <c r="A32" s="214"/>
      <c r="B32" s="212"/>
      <c r="C32" s="212"/>
      <c r="D32" s="212"/>
      <c r="E32" s="212"/>
      <c r="F32" s="212"/>
      <c r="G32" s="212"/>
      <c r="H32" s="212"/>
      <c r="I32" s="212"/>
      <c r="J32" s="212"/>
      <c r="K32" s="212"/>
      <c r="L32" s="213"/>
    </row>
    <row r="33" spans="1:12" ht="15" customHeight="1" x14ac:dyDescent="0.2">
      <c r="A33" s="214"/>
      <c r="B33" s="212"/>
      <c r="C33" s="212"/>
      <c r="D33" s="212"/>
      <c r="E33" s="212"/>
      <c r="F33" s="212"/>
      <c r="G33" s="212"/>
      <c r="H33" s="212"/>
      <c r="I33" s="212"/>
      <c r="J33" s="212"/>
      <c r="K33" s="212"/>
      <c r="L33" s="213"/>
    </row>
    <row r="34" spans="1:12" ht="15" customHeight="1" x14ac:dyDescent="0.2">
      <c r="A34" s="214"/>
      <c r="B34" s="212"/>
      <c r="C34" s="212"/>
      <c r="D34" s="212"/>
      <c r="E34" s="212"/>
      <c r="F34" s="212"/>
      <c r="G34" s="212"/>
      <c r="H34" s="212"/>
      <c r="I34" s="212"/>
      <c r="J34" s="212"/>
      <c r="K34" s="212"/>
      <c r="L34" s="213"/>
    </row>
    <row r="35" spans="1:12" ht="15" customHeight="1" x14ac:dyDescent="0.2">
      <c r="A35" s="214"/>
      <c r="B35" s="212"/>
      <c r="C35" s="212"/>
      <c r="D35" s="212"/>
      <c r="E35" s="212"/>
      <c r="F35" s="212"/>
      <c r="G35" s="212"/>
      <c r="H35" s="212"/>
      <c r="I35" s="212"/>
      <c r="J35" s="212"/>
      <c r="K35" s="212"/>
      <c r="L35" s="213"/>
    </row>
    <row r="36" spans="1:12" ht="15" customHeight="1" x14ac:dyDescent="0.2">
      <c r="A36" s="214"/>
      <c r="B36" s="212"/>
      <c r="C36" s="212"/>
      <c r="D36" s="212"/>
      <c r="E36" s="212"/>
      <c r="F36" s="212"/>
      <c r="G36" s="212"/>
      <c r="H36" s="212"/>
      <c r="I36" s="212"/>
      <c r="J36" s="212"/>
      <c r="K36" s="212"/>
      <c r="L36" s="213"/>
    </row>
    <row r="37" spans="1:12" ht="15" customHeight="1" x14ac:dyDescent="0.2">
      <c r="A37" s="214"/>
      <c r="B37" s="212"/>
      <c r="C37" s="212"/>
      <c r="D37" s="212"/>
      <c r="E37" s="212"/>
      <c r="F37" s="212"/>
      <c r="G37" s="212"/>
      <c r="H37" s="212"/>
      <c r="I37" s="212"/>
      <c r="J37" s="212"/>
      <c r="K37" s="212"/>
      <c r="L37" s="213"/>
    </row>
    <row r="38" spans="1:12" ht="15" customHeight="1" x14ac:dyDescent="0.2">
      <c r="A38" s="214"/>
      <c r="B38" s="212"/>
      <c r="C38" s="212"/>
      <c r="D38" s="212"/>
      <c r="E38" s="212"/>
      <c r="F38" s="212"/>
      <c r="G38" s="212"/>
      <c r="H38" s="212"/>
      <c r="I38" s="212"/>
      <c r="J38" s="212"/>
      <c r="K38" s="212"/>
      <c r="L38" s="213"/>
    </row>
    <row r="39" spans="1:12" ht="15" customHeight="1" x14ac:dyDescent="0.2">
      <c r="A39" s="214"/>
      <c r="B39" s="212"/>
      <c r="C39" s="212"/>
      <c r="D39" s="212"/>
      <c r="E39" s="212"/>
      <c r="F39" s="212"/>
      <c r="G39" s="212"/>
      <c r="H39" s="212"/>
      <c r="I39" s="212"/>
      <c r="J39" s="212"/>
      <c r="K39" s="212"/>
      <c r="L39" s="213"/>
    </row>
    <row r="40" spans="1:12" ht="15" customHeight="1" x14ac:dyDescent="0.2">
      <c r="A40" s="216">
        <v>5</v>
      </c>
      <c r="B40" s="217" t="s">
        <v>240</v>
      </c>
      <c r="C40" s="212"/>
      <c r="D40" s="212"/>
      <c r="E40" s="212"/>
      <c r="F40" s="212"/>
      <c r="G40" s="212"/>
      <c r="H40" s="212"/>
      <c r="I40" s="212"/>
      <c r="J40" s="212"/>
      <c r="K40" s="212"/>
      <c r="L40" s="213"/>
    </row>
    <row r="41" spans="1:12" ht="15" customHeight="1" x14ac:dyDescent="0.2">
      <c r="A41" s="214"/>
      <c r="B41" s="212"/>
      <c r="C41" s="212"/>
      <c r="D41" s="212"/>
      <c r="E41" s="212"/>
      <c r="F41" s="212"/>
      <c r="G41" s="212"/>
      <c r="H41" s="212"/>
      <c r="I41" s="212"/>
      <c r="J41" s="212"/>
      <c r="K41" s="212"/>
      <c r="L41" s="213"/>
    </row>
    <row r="42" spans="1:12" ht="15" customHeight="1" x14ac:dyDescent="0.2">
      <c r="A42" s="214"/>
      <c r="B42" s="212"/>
      <c r="C42" s="212"/>
      <c r="D42" s="212"/>
      <c r="E42" s="212"/>
      <c r="F42" s="212"/>
      <c r="G42" s="212"/>
      <c r="H42" s="212"/>
      <c r="I42" s="212"/>
      <c r="J42" s="212"/>
      <c r="K42" s="212"/>
      <c r="L42" s="213"/>
    </row>
    <row r="43" spans="1:12" ht="15" customHeight="1" x14ac:dyDescent="0.2">
      <c r="A43" s="214"/>
      <c r="B43" s="212"/>
      <c r="C43" s="212"/>
      <c r="D43" s="212"/>
      <c r="E43" s="212"/>
      <c r="F43" s="212"/>
      <c r="G43" s="212"/>
      <c r="H43" s="212"/>
      <c r="I43" s="212"/>
      <c r="J43" s="212"/>
      <c r="K43" s="212"/>
      <c r="L43" s="213"/>
    </row>
    <row r="44" spans="1:12" ht="15" customHeight="1" x14ac:dyDescent="0.2">
      <c r="A44" s="214"/>
      <c r="B44" s="212"/>
      <c r="C44" s="212"/>
      <c r="D44" s="212"/>
      <c r="E44" s="212"/>
      <c r="F44" s="212"/>
      <c r="G44" s="212"/>
      <c r="H44" s="212"/>
      <c r="I44" s="212"/>
      <c r="J44" s="212"/>
      <c r="K44" s="212"/>
      <c r="L44" s="213"/>
    </row>
    <row r="45" spans="1:12" ht="15" customHeight="1" x14ac:dyDescent="0.2">
      <c r="A45" s="214"/>
      <c r="B45" s="212"/>
      <c r="C45" s="212"/>
      <c r="D45" s="212"/>
      <c r="E45" s="212"/>
      <c r="F45" s="212"/>
      <c r="G45" s="212"/>
      <c r="H45" s="212"/>
      <c r="I45" s="212"/>
      <c r="J45" s="212"/>
      <c r="K45" s="212"/>
      <c r="L45" s="213"/>
    </row>
    <row r="46" spans="1:12" ht="15" customHeight="1" x14ac:dyDescent="0.2">
      <c r="A46" s="214"/>
      <c r="B46" s="212"/>
      <c r="C46" s="212"/>
      <c r="D46" s="212"/>
      <c r="E46" s="212"/>
      <c r="F46" s="212"/>
      <c r="G46" s="212"/>
      <c r="H46" s="212"/>
      <c r="I46" s="212"/>
      <c r="J46" s="212"/>
      <c r="K46" s="212"/>
      <c r="L46" s="213"/>
    </row>
    <row r="47" spans="1:12" ht="15" customHeight="1" x14ac:dyDescent="0.2">
      <c r="A47" s="214"/>
      <c r="B47" s="212"/>
      <c r="C47" s="212"/>
      <c r="D47" s="212"/>
      <c r="E47" s="212"/>
      <c r="F47" s="212"/>
      <c r="G47" s="212"/>
      <c r="H47" s="212"/>
      <c r="I47" s="212"/>
      <c r="J47" s="212"/>
      <c r="K47" s="212"/>
      <c r="L47" s="213"/>
    </row>
    <row r="48" spans="1:12" ht="15" customHeight="1" x14ac:dyDescent="0.2">
      <c r="A48" s="214"/>
      <c r="B48" s="212"/>
      <c r="C48" s="212"/>
      <c r="D48" s="212"/>
      <c r="E48" s="212"/>
      <c r="F48" s="212"/>
      <c r="G48" s="212"/>
      <c r="H48" s="212"/>
      <c r="I48" s="212"/>
      <c r="J48" s="212"/>
      <c r="K48" s="212"/>
      <c r="L48" s="213"/>
    </row>
    <row r="49" spans="1:12" ht="15" customHeight="1" x14ac:dyDescent="0.2">
      <c r="A49" s="214"/>
      <c r="B49" s="212"/>
      <c r="C49" s="212"/>
      <c r="D49" s="212"/>
      <c r="E49" s="212"/>
      <c r="F49" s="212"/>
      <c r="G49" s="212"/>
      <c r="H49" s="212"/>
      <c r="I49" s="212"/>
      <c r="J49" s="212"/>
      <c r="K49" s="212"/>
      <c r="L49" s="213"/>
    </row>
    <row r="50" spans="1:12" ht="15" customHeight="1" x14ac:dyDescent="0.2">
      <c r="A50" s="214"/>
      <c r="B50" s="212"/>
      <c r="C50" s="212"/>
      <c r="D50" s="212"/>
      <c r="E50" s="212"/>
      <c r="F50" s="212"/>
      <c r="G50" s="212"/>
      <c r="H50" s="212"/>
      <c r="I50" s="212"/>
      <c r="J50" s="212"/>
      <c r="K50" s="212"/>
      <c r="L50" s="213"/>
    </row>
    <row r="51" spans="1:12" ht="15" customHeight="1" x14ac:dyDescent="0.2">
      <c r="A51" s="214"/>
      <c r="B51" s="212"/>
      <c r="C51" s="212"/>
      <c r="D51" s="212"/>
      <c r="E51" s="212"/>
      <c r="F51" s="212"/>
      <c r="G51" s="212"/>
      <c r="H51" s="212"/>
      <c r="I51" s="212"/>
      <c r="J51" s="212"/>
      <c r="K51" s="212"/>
      <c r="L51" s="213"/>
    </row>
    <row r="52" spans="1:12" ht="15" customHeight="1" x14ac:dyDescent="0.2">
      <c r="A52" s="214"/>
      <c r="B52" s="215" t="s">
        <v>241</v>
      </c>
      <c r="C52" s="212"/>
      <c r="D52" s="212"/>
      <c r="E52" s="212"/>
      <c r="F52" s="212"/>
      <c r="G52" s="212"/>
      <c r="H52" s="212"/>
      <c r="I52" s="212"/>
      <c r="J52" s="212"/>
      <c r="K52" s="212"/>
      <c r="L52" s="213"/>
    </row>
    <row r="53" spans="1:12" ht="15" customHeight="1" x14ac:dyDescent="0.2">
      <c r="A53" s="216">
        <v>1</v>
      </c>
      <c r="B53" s="217" t="s">
        <v>242</v>
      </c>
      <c r="C53" s="212"/>
      <c r="D53" s="212"/>
      <c r="E53" s="212"/>
      <c r="F53" s="212"/>
      <c r="G53" s="212"/>
      <c r="H53" s="212"/>
      <c r="I53" s="212"/>
      <c r="J53" s="212"/>
      <c r="K53" s="212"/>
      <c r="L53" s="213"/>
    </row>
    <row r="54" spans="1:12" ht="15" customHeight="1" x14ac:dyDescent="0.2">
      <c r="A54" s="214"/>
      <c r="B54" s="217" t="s">
        <v>243</v>
      </c>
      <c r="C54" s="212"/>
      <c r="D54" s="212"/>
      <c r="E54" s="212"/>
      <c r="F54" s="212"/>
      <c r="G54" s="212"/>
      <c r="H54" s="212"/>
      <c r="I54" s="212"/>
      <c r="J54" s="212"/>
      <c r="K54" s="212"/>
      <c r="L54" s="213"/>
    </row>
    <row r="55" spans="1:12" ht="15" customHeight="1" x14ac:dyDescent="0.2">
      <c r="A55" s="214"/>
      <c r="B55" s="217" t="s">
        <v>244</v>
      </c>
      <c r="C55" s="212"/>
      <c r="D55" s="212"/>
      <c r="E55" s="212"/>
      <c r="F55" s="212"/>
      <c r="G55" s="212"/>
      <c r="H55" s="212"/>
      <c r="I55" s="212"/>
      <c r="J55" s="212"/>
      <c r="K55" s="212"/>
      <c r="L55" s="213"/>
    </row>
    <row r="56" spans="1:12" ht="15" customHeight="1" x14ac:dyDescent="0.2">
      <c r="A56" s="214"/>
      <c r="B56" s="212"/>
      <c r="C56" s="212"/>
      <c r="D56" s="212"/>
      <c r="E56" s="212"/>
      <c r="F56" s="212"/>
      <c r="G56" s="212"/>
      <c r="H56" s="212"/>
      <c r="I56" s="212"/>
      <c r="J56" s="212"/>
      <c r="K56" s="212"/>
      <c r="L56" s="213"/>
    </row>
    <row r="57" spans="1:12" ht="15" customHeight="1" x14ac:dyDescent="0.2">
      <c r="A57" s="214"/>
      <c r="B57" s="212"/>
      <c r="C57" s="212"/>
      <c r="D57" s="212"/>
      <c r="E57" s="212"/>
      <c r="F57" s="212"/>
      <c r="G57" s="212"/>
      <c r="H57" s="212"/>
      <c r="I57" s="212"/>
      <c r="J57" s="212"/>
      <c r="K57" s="212"/>
      <c r="L57" s="213"/>
    </row>
    <row r="58" spans="1:12" ht="15" customHeight="1" x14ac:dyDescent="0.2">
      <c r="A58" s="214"/>
      <c r="B58" s="212"/>
      <c r="C58" s="212"/>
      <c r="D58" s="212"/>
      <c r="E58" s="212"/>
      <c r="F58" s="212"/>
      <c r="G58" s="212"/>
      <c r="H58" s="212"/>
      <c r="I58" s="212"/>
      <c r="J58" s="212"/>
      <c r="K58" s="212"/>
      <c r="L58" s="213"/>
    </row>
    <row r="59" spans="1:12" ht="15" customHeight="1" x14ac:dyDescent="0.2">
      <c r="A59" s="214"/>
      <c r="B59" s="212"/>
      <c r="C59" s="212"/>
      <c r="D59" s="212"/>
      <c r="E59" s="212"/>
      <c r="F59" s="212"/>
      <c r="G59" s="212"/>
      <c r="H59" s="212"/>
      <c r="I59" s="212"/>
      <c r="J59" s="212"/>
      <c r="K59" s="212"/>
      <c r="L59" s="213"/>
    </row>
    <row r="60" spans="1:12" ht="15" customHeight="1" x14ac:dyDescent="0.2">
      <c r="A60" s="214"/>
      <c r="B60" s="212"/>
      <c r="C60" s="212"/>
      <c r="D60" s="212"/>
      <c r="E60" s="212"/>
      <c r="F60" s="212"/>
      <c r="G60" s="212"/>
      <c r="H60" s="212"/>
      <c r="I60" s="212"/>
      <c r="J60" s="212"/>
      <c r="K60" s="212"/>
      <c r="L60" s="213"/>
    </row>
    <row r="61" spans="1:12" ht="15" customHeight="1" x14ac:dyDescent="0.2">
      <c r="A61" s="214"/>
      <c r="B61" s="212"/>
      <c r="C61" s="212"/>
      <c r="D61" s="212"/>
      <c r="E61" s="212"/>
      <c r="F61" s="212"/>
      <c r="G61" s="212"/>
      <c r="H61" s="212"/>
      <c r="I61" s="212"/>
      <c r="J61" s="212"/>
      <c r="K61" s="212"/>
      <c r="L61" s="213"/>
    </row>
    <row r="62" spans="1:12" ht="15" customHeight="1" x14ac:dyDescent="0.2">
      <c r="A62" s="214"/>
      <c r="B62" s="212"/>
      <c r="C62" s="212"/>
      <c r="D62" s="212"/>
      <c r="E62" s="212"/>
      <c r="F62" s="212"/>
      <c r="G62" s="212"/>
      <c r="H62" s="212"/>
      <c r="I62" s="212"/>
      <c r="J62" s="212"/>
      <c r="K62" s="212"/>
      <c r="L62" s="213"/>
    </row>
    <row r="63" spans="1:12" ht="15" customHeight="1" x14ac:dyDescent="0.2">
      <c r="A63" s="214"/>
      <c r="B63" s="212"/>
      <c r="C63" s="212"/>
      <c r="D63" s="212"/>
      <c r="E63" s="212"/>
      <c r="F63" s="212"/>
      <c r="G63" s="212"/>
      <c r="H63" s="212"/>
      <c r="I63" s="212"/>
      <c r="J63" s="212"/>
      <c r="K63" s="212"/>
      <c r="L63" s="213"/>
    </row>
    <row r="64" spans="1:12" ht="15" customHeight="1" x14ac:dyDescent="0.2">
      <c r="A64" s="214"/>
      <c r="B64" s="212"/>
      <c r="C64" s="212"/>
      <c r="D64" s="212"/>
      <c r="E64" s="212"/>
      <c r="F64" s="212"/>
      <c r="G64" s="212"/>
      <c r="H64" s="212"/>
      <c r="I64" s="212"/>
      <c r="J64" s="212"/>
      <c r="K64" s="212"/>
      <c r="L64" s="213"/>
    </row>
    <row r="65" spans="1:12" ht="15" customHeight="1" x14ac:dyDescent="0.2">
      <c r="A65" s="214"/>
      <c r="B65" s="212"/>
      <c r="C65" s="212"/>
      <c r="D65" s="212"/>
      <c r="E65" s="212"/>
      <c r="F65" s="212"/>
      <c r="G65" s="212"/>
      <c r="H65" s="212"/>
      <c r="I65" s="212"/>
      <c r="J65" s="212"/>
      <c r="K65" s="212"/>
      <c r="L65" s="213"/>
    </row>
    <row r="66" spans="1:12" ht="15" customHeight="1" x14ac:dyDescent="0.2">
      <c r="A66" s="214"/>
      <c r="B66" s="212"/>
      <c r="C66" s="212"/>
      <c r="D66" s="212"/>
      <c r="E66" s="212"/>
      <c r="F66" s="212"/>
      <c r="G66" s="212"/>
      <c r="H66" s="212"/>
      <c r="I66" s="212"/>
      <c r="J66" s="212"/>
      <c r="K66" s="212"/>
      <c r="L66" s="213"/>
    </row>
    <row r="67" spans="1:12" ht="15" customHeight="1" x14ac:dyDescent="0.2">
      <c r="A67" s="214"/>
      <c r="B67" s="212"/>
      <c r="C67" s="212"/>
      <c r="D67" s="212"/>
      <c r="E67" s="212"/>
      <c r="F67" s="212"/>
      <c r="G67" s="212"/>
      <c r="H67" s="212"/>
      <c r="I67" s="212"/>
      <c r="J67" s="212"/>
      <c r="K67" s="212"/>
      <c r="L67" s="213"/>
    </row>
    <row r="68" spans="1:12" ht="15" customHeight="1" x14ac:dyDescent="0.2">
      <c r="A68" s="216">
        <v>2</v>
      </c>
      <c r="B68" s="217" t="s">
        <v>245</v>
      </c>
      <c r="C68" s="212"/>
      <c r="D68" s="212"/>
      <c r="E68" s="212"/>
      <c r="F68" s="212"/>
      <c r="G68" s="212"/>
      <c r="H68" s="212"/>
      <c r="I68" s="212"/>
      <c r="J68" s="212"/>
      <c r="K68" s="212"/>
      <c r="L68" s="213"/>
    </row>
    <row r="69" spans="1:12" ht="15" customHeight="1" x14ac:dyDescent="0.2">
      <c r="A69" s="214"/>
      <c r="B69" s="217" t="s">
        <v>238</v>
      </c>
      <c r="C69" s="212"/>
      <c r="D69" s="212"/>
      <c r="E69" s="212"/>
      <c r="F69" s="212"/>
      <c r="G69" s="212"/>
      <c r="H69" s="212"/>
      <c r="I69" s="212"/>
      <c r="J69" s="212"/>
      <c r="K69" s="212"/>
      <c r="L69" s="213"/>
    </row>
    <row r="70" spans="1:12" ht="15" customHeight="1" x14ac:dyDescent="0.2">
      <c r="A70" s="214"/>
      <c r="B70" s="217" t="s">
        <v>239</v>
      </c>
      <c r="C70" s="212"/>
      <c r="D70" s="212"/>
      <c r="E70" s="212"/>
      <c r="F70" s="212"/>
      <c r="G70" s="212"/>
      <c r="H70" s="212"/>
      <c r="I70" s="212"/>
      <c r="J70" s="212"/>
      <c r="K70" s="212"/>
      <c r="L70" s="213"/>
    </row>
    <row r="71" spans="1:12" ht="15" customHeight="1" x14ac:dyDescent="0.2">
      <c r="A71" s="214"/>
      <c r="B71" s="212"/>
      <c r="C71" s="212"/>
      <c r="D71" s="212"/>
      <c r="E71" s="212"/>
      <c r="F71" s="212"/>
      <c r="G71" s="212"/>
      <c r="H71" s="212"/>
      <c r="I71" s="212"/>
      <c r="J71" s="212"/>
      <c r="K71" s="212"/>
      <c r="L71" s="213"/>
    </row>
    <row r="72" spans="1:12" ht="15" customHeight="1" x14ac:dyDescent="0.2">
      <c r="A72" s="214"/>
      <c r="B72" s="212"/>
      <c r="C72" s="212"/>
      <c r="D72" s="212"/>
      <c r="E72" s="212"/>
      <c r="F72" s="212"/>
      <c r="G72" s="212"/>
      <c r="H72" s="212"/>
      <c r="I72" s="212"/>
      <c r="J72" s="212"/>
      <c r="K72" s="212"/>
      <c r="L72" s="213"/>
    </row>
    <row r="73" spans="1:12" ht="15" customHeight="1" x14ac:dyDescent="0.2">
      <c r="A73" s="214"/>
      <c r="B73" s="212"/>
      <c r="C73" s="212"/>
      <c r="D73" s="212"/>
      <c r="E73" s="212"/>
      <c r="F73" s="212"/>
      <c r="G73" s="212"/>
      <c r="H73" s="212"/>
      <c r="I73" s="212"/>
      <c r="J73" s="212"/>
      <c r="K73" s="212"/>
      <c r="L73" s="213"/>
    </row>
    <row r="74" spans="1:12" ht="15" customHeight="1" x14ac:dyDescent="0.2">
      <c r="A74" s="214"/>
      <c r="B74" s="212"/>
      <c r="C74" s="212"/>
      <c r="D74" s="212"/>
      <c r="E74" s="212"/>
      <c r="F74" s="212"/>
      <c r="G74" s="212"/>
      <c r="H74" s="212"/>
      <c r="I74" s="212"/>
      <c r="J74" s="212"/>
      <c r="K74" s="212"/>
      <c r="L74" s="213"/>
    </row>
    <row r="75" spans="1:12" ht="15" customHeight="1" x14ac:dyDescent="0.2">
      <c r="A75" s="214"/>
      <c r="B75" s="212"/>
      <c r="C75" s="212"/>
      <c r="D75" s="212"/>
      <c r="E75" s="212"/>
      <c r="F75" s="212"/>
      <c r="G75" s="212"/>
      <c r="H75" s="212"/>
      <c r="I75" s="212"/>
      <c r="J75" s="212"/>
      <c r="K75" s="212"/>
      <c r="L75" s="213"/>
    </row>
    <row r="76" spans="1:12" ht="15" customHeight="1" x14ac:dyDescent="0.2">
      <c r="A76" s="214"/>
      <c r="B76" s="212"/>
      <c r="C76" s="212"/>
      <c r="D76" s="212"/>
      <c r="E76" s="212"/>
      <c r="F76" s="212"/>
      <c r="G76" s="212"/>
      <c r="H76" s="212"/>
      <c r="I76" s="212"/>
      <c r="J76" s="212"/>
      <c r="K76" s="212"/>
      <c r="L76" s="213"/>
    </row>
    <row r="77" spans="1:12" ht="15" customHeight="1" x14ac:dyDescent="0.2">
      <c r="A77" s="214"/>
      <c r="B77" s="212"/>
      <c r="C77" s="212"/>
      <c r="D77" s="212"/>
      <c r="E77" s="212"/>
      <c r="F77" s="212"/>
      <c r="G77" s="212"/>
      <c r="H77" s="212"/>
      <c r="I77" s="212"/>
      <c r="J77" s="212"/>
      <c r="K77" s="212"/>
      <c r="L77" s="213"/>
    </row>
    <row r="78" spans="1:12" ht="15" customHeight="1" x14ac:dyDescent="0.2">
      <c r="A78" s="214"/>
      <c r="B78" s="212"/>
      <c r="C78" s="212"/>
      <c r="D78" s="212"/>
      <c r="E78" s="212"/>
      <c r="F78" s="212"/>
      <c r="G78" s="212"/>
      <c r="H78" s="212"/>
      <c r="I78" s="212"/>
      <c r="J78" s="212"/>
      <c r="K78" s="212"/>
      <c r="L78" s="213"/>
    </row>
    <row r="79" spans="1:12" ht="15" customHeight="1" x14ac:dyDescent="0.2">
      <c r="A79" s="214"/>
      <c r="B79" s="212"/>
      <c r="C79" s="212"/>
      <c r="D79" s="212"/>
      <c r="E79" s="212"/>
      <c r="F79" s="212"/>
      <c r="G79" s="212"/>
      <c r="H79" s="212"/>
      <c r="I79" s="212"/>
      <c r="J79" s="212"/>
      <c r="K79" s="212"/>
      <c r="L79" s="213"/>
    </row>
    <row r="80" spans="1:12" ht="15" customHeight="1" x14ac:dyDescent="0.2">
      <c r="A80" s="214"/>
      <c r="B80" s="215" t="s">
        <v>246</v>
      </c>
      <c r="C80" s="212"/>
      <c r="D80" s="212"/>
      <c r="E80" s="212"/>
      <c r="F80" s="212"/>
      <c r="G80" s="212"/>
      <c r="H80" s="212"/>
      <c r="I80" s="212"/>
      <c r="J80" s="212"/>
      <c r="K80" s="212"/>
      <c r="L80" s="213"/>
    </row>
    <row r="81" spans="1:12" ht="15" customHeight="1" x14ac:dyDescent="0.2">
      <c r="A81" s="216">
        <v>1</v>
      </c>
      <c r="B81" s="217" t="s">
        <v>247</v>
      </c>
      <c r="C81" s="212"/>
      <c r="D81" s="212"/>
      <c r="E81" s="212"/>
      <c r="F81" s="212"/>
      <c r="G81" s="212"/>
      <c r="H81" s="212"/>
      <c r="I81" s="212"/>
      <c r="J81" s="212"/>
      <c r="K81" s="212"/>
      <c r="L81" s="213"/>
    </row>
    <row r="82" spans="1:12" ht="15" customHeight="1" x14ac:dyDescent="0.2">
      <c r="A82" s="214"/>
      <c r="B82" s="212"/>
      <c r="C82" s="212"/>
      <c r="D82" s="212"/>
      <c r="E82" s="212"/>
      <c r="F82" s="212"/>
      <c r="G82" s="212"/>
      <c r="H82" s="212"/>
      <c r="I82" s="212"/>
      <c r="J82" s="212"/>
      <c r="K82" s="212"/>
      <c r="L82" s="213"/>
    </row>
    <row r="83" spans="1:12" ht="15" customHeight="1" x14ac:dyDescent="0.2">
      <c r="A83" s="214"/>
      <c r="B83" s="212"/>
      <c r="C83" s="212"/>
      <c r="D83" s="212"/>
      <c r="E83" s="212"/>
      <c r="F83" s="212"/>
      <c r="G83" s="212"/>
      <c r="H83" s="212"/>
      <c r="I83" s="212"/>
      <c r="J83" s="212"/>
      <c r="K83" s="212"/>
      <c r="L83" s="213"/>
    </row>
    <row r="84" spans="1:12" ht="15" customHeight="1" x14ac:dyDescent="0.2">
      <c r="A84" s="214"/>
      <c r="B84" s="212"/>
      <c r="C84" s="212"/>
      <c r="D84" s="212"/>
      <c r="E84" s="212"/>
      <c r="F84" s="212"/>
      <c r="G84" s="212"/>
      <c r="H84" s="212"/>
      <c r="I84" s="212"/>
      <c r="J84" s="212"/>
      <c r="K84" s="212"/>
      <c r="L84" s="213"/>
    </row>
    <row r="85" spans="1:12" ht="15" customHeight="1" x14ac:dyDescent="0.2">
      <c r="A85" s="214"/>
      <c r="B85" s="212"/>
      <c r="C85" s="212"/>
      <c r="D85" s="212"/>
      <c r="E85" s="212"/>
      <c r="F85" s="212"/>
      <c r="G85" s="212"/>
      <c r="H85" s="212"/>
      <c r="I85" s="212"/>
      <c r="J85" s="212"/>
      <c r="K85" s="212"/>
      <c r="L85" s="213"/>
    </row>
    <row r="86" spans="1:12" ht="15" customHeight="1" x14ac:dyDescent="0.2">
      <c r="A86" s="214"/>
      <c r="B86" s="212"/>
      <c r="C86" s="212"/>
      <c r="D86" s="212"/>
      <c r="E86" s="212"/>
      <c r="F86" s="212"/>
      <c r="G86" s="212"/>
      <c r="H86" s="212"/>
      <c r="I86" s="212"/>
      <c r="J86" s="212"/>
      <c r="K86" s="212"/>
      <c r="L86" s="213"/>
    </row>
    <row r="87" spans="1:12" ht="15" customHeight="1" x14ac:dyDescent="0.2">
      <c r="A87" s="214"/>
      <c r="B87" s="212"/>
      <c r="C87" s="212"/>
      <c r="D87" s="212"/>
      <c r="E87" s="212"/>
      <c r="F87" s="212"/>
      <c r="G87" s="212"/>
      <c r="H87" s="212"/>
      <c r="I87" s="212"/>
      <c r="J87" s="212"/>
      <c r="K87" s="212"/>
      <c r="L87" s="213"/>
    </row>
    <row r="88" spans="1:12" ht="15" customHeight="1" x14ac:dyDescent="0.2">
      <c r="A88" s="214"/>
      <c r="B88" s="212"/>
      <c r="C88" s="212"/>
      <c r="D88" s="212"/>
      <c r="E88" s="212"/>
      <c r="F88" s="212"/>
      <c r="G88" s="212"/>
      <c r="H88" s="212"/>
      <c r="I88" s="212"/>
      <c r="J88" s="212"/>
      <c r="K88" s="212"/>
      <c r="L88" s="213"/>
    </row>
    <row r="89" spans="1:12" ht="15" customHeight="1" x14ac:dyDescent="0.2">
      <c r="A89" s="216">
        <v>2</v>
      </c>
      <c r="B89" s="217" t="s">
        <v>248</v>
      </c>
      <c r="C89" s="212"/>
      <c r="D89" s="212"/>
      <c r="E89" s="212"/>
      <c r="F89" s="212"/>
      <c r="G89" s="212"/>
      <c r="H89" s="212"/>
      <c r="I89" s="212"/>
      <c r="J89" s="212"/>
      <c r="K89" s="212"/>
      <c r="L89" s="213"/>
    </row>
    <row r="90" spans="1:12" ht="15" customHeight="1" x14ac:dyDescent="0.2">
      <c r="A90" s="214"/>
      <c r="B90" s="212"/>
      <c r="C90" s="212"/>
      <c r="D90" s="212"/>
      <c r="E90" s="212"/>
      <c r="F90" s="212"/>
      <c r="G90" s="212"/>
      <c r="H90" s="212"/>
      <c r="I90" s="212"/>
      <c r="J90" s="212"/>
      <c r="K90" s="212"/>
      <c r="L90" s="213"/>
    </row>
    <row r="91" spans="1:12" ht="15" customHeight="1" x14ac:dyDescent="0.2">
      <c r="A91" s="214"/>
      <c r="B91" s="212"/>
      <c r="C91" s="212"/>
      <c r="D91" s="212"/>
      <c r="E91" s="212"/>
      <c r="F91" s="212"/>
      <c r="G91" s="212"/>
      <c r="H91" s="212"/>
      <c r="I91" s="212"/>
      <c r="J91" s="212"/>
      <c r="K91" s="212"/>
      <c r="L91" s="213"/>
    </row>
    <row r="92" spans="1:12" ht="15" customHeight="1" x14ac:dyDescent="0.2">
      <c r="A92" s="214"/>
      <c r="B92" s="212"/>
      <c r="C92" s="212"/>
      <c r="D92" s="212"/>
      <c r="E92" s="212"/>
      <c r="F92" s="212"/>
      <c r="G92" s="212"/>
      <c r="H92" s="212"/>
      <c r="I92" s="212"/>
      <c r="J92" s="212"/>
      <c r="K92" s="212"/>
      <c r="L92" s="213"/>
    </row>
    <row r="93" spans="1:12" ht="15" customHeight="1" x14ac:dyDescent="0.2">
      <c r="A93" s="214"/>
      <c r="B93" s="212"/>
      <c r="C93" s="212"/>
      <c r="D93" s="212"/>
      <c r="E93" s="212"/>
      <c r="F93" s="212"/>
      <c r="G93" s="212"/>
      <c r="H93" s="212"/>
      <c r="I93" s="212"/>
      <c r="J93" s="212"/>
      <c r="K93" s="212"/>
      <c r="L93" s="213"/>
    </row>
    <row r="94" spans="1:12" ht="15" customHeight="1" x14ac:dyDescent="0.2">
      <c r="A94" s="214"/>
      <c r="B94" s="212"/>
      <c r="C94" s="212"/>
      <c r="D94" s="212"/>
      <c r="E94" s="212"/>
      <c r="F94" s="212"/>
      <c r="G94" s="212"/>
      <c r="H94" s="212"/>
      <c r="I94" s="212"/>
      <c r="J94" s="212"/>
      <c r="K94" s="212"/>
      <c r="L94" s="213"/>
    </row>
    <row r="95" spans="1:12" ht="15" customHeight="1" x14ac:dyDescent="0.2">
      <c r="A95" s="214"/>
      <c r="B95" s="212"/>
      <c r="C95" s="212"/>
      <c r="D95" s="212"/>
      <c r="E95" s="212"/>
      <c r="F95" s="212"/>
      <c r="G95" s="212"/>
      <c r="H95" s="212"/>
      <c r="I95" s="212"/>
      <c r="J95" s="212"/>
      <c r="K95" s="212"/>
      <c r="L95" s="213"/>
    </row>
    <row r="96" spans="1:12" ht="15" customHeight="1" x14ac:dyDescent="0.2">
      <c r="A96" s="214"/>
      <c r="B96" s="212"/>
      <c r="C96" s="212"/>
      <c r="D96" s="212"/>
      <c r="E96" s="212"/>
      <c r="F96" s="212"/>
      <c r="G96" s="212"/>
      <c r="H96" s="212"/>
      <c r="I96" s="212"/>
      <c r="J96" s="212"/>
      <c r="K96" s="212"/>
      <c r="L96" s="213"/>
    </row>
    <row r="97" spans="1:12" ht="15" customHeight="1" x14ac:dyDescent="0.2">
      <c r="A97" s="214"/>
      <c r="B97" s="212"/>
      <c r="C97" s="212"/>
      <c r="D97" s="212"/>
      <c r="E97" s="212"/>
      <c r="F97" s="212"/>
      <c r="G97" s="212"/>
      <c r="H97" s="212"/>
      <c r="I97" s="212"/>
      <c r="J97" s="212"/>
      <c r="K97" s="212"/>
      <c r="L97" s="213"/>
    </row>
    <row r="98" spans="1:12" ht="15" customHeight="1" x14ac:dyDescent="0.2">
      <c r="A98" s="214"/>
      <c r="B98" s="212"/>
      <c r="C98" s="212"/>
      <c r="D98" s="212"/>
      <c r="E98" s="212"/>
      <c r="F98" s="212"/>
      <c r="G98" s="212"/>
      <c r="H98" s="212"/>
      <c r="I98" s="212"/>
      <c r="J98" s="212"/>
      <c r="K98" s="212"/>
      <c r="L98" s="213"/>
    </row>
    <row r="99" spans="1:12" ht="15" customHeight="1" x14ac:dyDescent="0.2">
      <c r="A99" s="214"/>
      <c r="B99" s="212"/>
      <c r="C99" s="212"/>
      <c r="D99" s="212"/>
      <c r="E99" s="212"/>
      <c r="F99" s="212"/>
      <c r="G99" s="212"/>
      <c r="H99" s="212"/>
      <c r="I99" s="212"/>
      <c r="J99" s="212"/>
      <c r="K99" s="212"/>
      <c r="L99" s="213"/>
    </row>
    <row r="100" spans="1:12" ht="15" customHeight="1" x14ac:dyDescent="0.2">
      <c r="A100" s="214"/>
      <c r="B100" s="215" t="s">
        <v>249</v>
      </c>
      <c r="C100" s="212"/>
      <c r="D100" s="212"/>
      <c r="E100" s="212"/>
      <c r="F100" s="212"/>
      <c r="G100" s="212"/>
      <c r="H100" s="212"/>
      <c r="I100" s="212"/>
      <c r="J100" s="212"/>
      <c r="K100" s="212"/>
      <c r="L100" s="213"/>
    </row>
    <row r="101" spans="1:12" ht="15" customHeight="1" x14ac:dyDescent="0.2">
      <c r="A101" s="216">
        <v>1</v>
      </c>
      <c r="B101" s="217" t="s">
        <v>250</v>
      </c>
      <c r="C101" s="212"/>
      <c r="D101" s="212"/>
      <c r="E101" s="212"/>
      <c r="F101" s="212"/>
      <c r="G101" s="212"/>
      <c r="H101" s="212"/>
      <c r="I101" s="212"/>
      <c r="J101" s="212"/>
      <c r="K101" s="212"/>
      <c r="L101" s="213"/>
    </row>
    <row r="102" spans="1:12" ht="15" customHeight="1" x14ac:dyDescent="0.2">
      <c r="A102" s="214"/>
      <c r="B102" s="217" t="s">
        <v>251</v>
      </c>
      <c r="C102" s="212"/>
      <c r="D102" s="212"/>
      <c r="E102" s="212"/>
      <c r="F102" s="212"/>
      <c r="G102" s="212"/>
      <c r="H102" s="212"/>
      <c r="I102" s="212"/>
      <c r="J102" s="212"/>
      <c r="K102" s="212"/>
      <c r="L102" s="213"/>
    </row>
    <row r="103" spans="1:12" ht="15" customHeight="1" x14ac:dyDescent="0.2">
      <c r="A103" s="214"/>
      <c r="B103" s="217" t="s">
        <v>252</v>
      </c>
      <c r="C103" s="212"/>
      <c r="D103" s="212"/>
      <c r="E103" s="212"/>
      <c r="F103" s="212"/>
      <c r="G103" s="212"/>
      <c r="H103" s="212"/>
      <c r="I103" s="212"/>
      <c r="J103" s="212"/>
      <c r="K103" s="212"/>
      <c r="L103" s="213"/>
    </row>
    <row r="104" spans="1:12" ht="15" customHeight="1" x14ac:dyDescent="0.2">
      <c r="A104" s="214"/>
      <c r="B104" s="212"/>
      <c r="C104" s="212"/>
      <c r="D104" s="212"/>
      <c r="E104" s="212"/>
      <c r="F104" s="212"/>
      <c r="G104" s="212"/>
      <c r="H104" s="212"/>
      <c r="I104" s="212"/>
      <c r="J104" s="212"/>
      <c r="K104" s="212"/>
      <c r="L104" s="213"/>
    </row>
    <row r="105" spans="1:12" ht="15" customHeight="1" x14ac:dyDescent="0.2">
      <c r="A105" s="214"/>
      <c r="B105" s="212"/>
      <c r="C105" s="212"/>
      <c r="D105" s="212"/>
      <c r="E105" s="212"/>
      <c r="F105" s="212"/>
      <c r="G105" s="212"/>
      <c r="H105" s="212"/>
      <c r="I105" s="212"/>
      <c r="J105" s="212"/>
      <c r="K105" s="212"/>
      <c r="L105" s="213"/>
    </row>
    <row r="106" spans="1:12" ht="15" customHeight="1" x14ac:dyDescent="0.2">
      <c r="A106" s="214"/>
      <c r="B106" s="212"/>
      <c r="C106" s="212"/>
      <c r="D106" s="212"/>
      <c r="E106" s="212"/>
      <c r="F106" s="212"/>
      <c r="G106" s="212"/>
      <c r="H106" s="212"/>
      <c r="I106" s="212"/>
      <c r="J106" s="212"/>
      <c r="K106" s="212"/>
      <c r="L106" s="213"/>
    </row>
    <row r="107" spans="1:12" ht="15" customHeight="1" x14ac:dyDescent="0.2">
      <c r="A107" s="214"/>
      <c r="B107" s="212"/>
      <c r="C107" s="212"/>
      <c r="D107" s="212"/>
      <c r="E107" s="212"/>
      <c r="F107" s="212"/>
      <c r="G107" s="212"/>
      <c r="H107" s="212"/>
      <c r="I107" s="212"/>
      <c r="J107" s="212"/>
      <c r="K107" s="212"/>
      <c r="L107" s="213"/>
    </row>
    <row r="108" spans="1:12" ht="15" customHeight="1" x14ac:dyDescent="0.2">
      <c r="A108" s="214"/>
      <c r="B108" s="212"/>
      <c r="C108" s="212"/>
      <c r="D108" s="212"/>
      <c r="E108" s="212"/>
      <c r="F108" s="212"/>
      <c r="G108" s="212"/>
      <c r="H108" s="212"/>
      <c r="I108" s="212"/>
      <c r="J108" s="212"/>
      <c r="K108" s="212"/>
      <c r="L108" s="213"/>
    </row>
    <row r="109" spans="1:12" ht="15" customHeight="1" x14ac:dyDescent="0.2">
      <c r="A109" s="214"/>
      <c r="B109" s="212"/>
      <c r="C109" s="212"/>
      <c r="D109" s="212"/>
      <c r="E109" s="212"/>
      <c r="F109" s="212"/>
      <c r="G109" s="212"/>
      <c r="H109" s="212"/>
      <c r="I109" s="212"/>
      <c r="J109" s="212"/>
      <c r="K109" s="212"/>
      <c r="L109" s="213"/>
    </row>
    <row r="110" spans="1:12" ht="15" customHeight="1" x14ac:dyDescent="0.2">
      <c r="A110" s="214"/>
      <c r="B110" s="212"/>
      <c r="C110" s="212"/>
      <c r="D110" s="212"/>
      <c r="E110" s="212"/>
      <c r="F110" s="212"/>
      <c r="G110" s="212"/>
      <c r="H110" s="212"/>
      <c r="I110" s="212"/>
      <c r="J110" s="212"/>
      <c r="K110" s="212"/>
      <c r="L110" s="213"/>
    </row>
    <row r="111" spans="1:12" ht="15" customHeight="1" x14ac:dyDescent="0.2">
      <c r="A111" s="214"/>
      <c r="B111" s="212"/>
      <c r="C111" s="212"/>
      <c r="D111" s="212"/>
      <c r="E111" s="212"/>
      <c r="F111" s="212"/>
      <c r="G111" s="212"/>
      <c r="H111" s="212"/>
      <c r="I111" s="212"/>
      <c r="J111" s="212"/>
      <c r="K111" s="212"/>
      <c r="L111" s="213"/>
    </row>
    <row r="112" spans="1:12" ht="15" customHeight="1" x14ac:dyDescent="0.2">
      <c r="A112" s="214"/>
      <c r="B112" s="212"/>
      <c r="C112" s="212"/>
      <c r="D112" s="212"/>
      <c r="E112" s="212"/>
      <c r="F112" s="212"/>
      <c r="G112" s="212"/>
      <c r="H112" s="212"/>
      <c r="I112" s="212"/>
      <c r="J112" s="212"/>
      <c r="K112" s="212"/>
      <c r="L112" s="213"/>
    </row>
    <row r="113" spans="1:12" ht="15" customHeight="1" x14ac:dyDescent="0.2">
      <c r="A113" s="214"/>
      <c r="B113" s="212"/>
      <c r="C113" s="212"/>
      <c r="D113" s="212"/>
      <c r="E113" s="212"/>
      <c r="F113" s="212"/>
      <c r="G113" s="212"/>
      <c r="H113" s="212"/>
      <c r="I113" s="212"/>
      <c r="J113" s="212"/>
      <c r="K113" s="212"/>
      <c r="L113" s="213"/>
    </row>
    <row r="114" spans="1:12" ht="15" customHeight="1" x14ac:dyDescent="0.2">
      <c r="A114" s="214"/>
      <c r="B114" s="212"/>
      <c r="C114" s="212"/>
      <c r="D114" s="212"/>
      <c r="E114" s="212"/>
      <c r="F114" s="212"/>
      <c r="G114" s="212"/>
      <c r="H114" s="212"/>
      <c r="I114" s="212"/>
      <c r="J114" s="212"/>
      <c r="K114" s="212"/>
      <c r="L114" s="213"/>
    </row>
    <row r="115" spans="1:12" ht="15" customHeight="1" x14ac:dyDescent="0.2">
      <c r="A115" s="214"/>
      <c r="B115" s="212"/>
      <c r="C115" s="212"/>
      <c r="D115" s="212"/>
      <c r="E115" s="212"/>
      <c r="F115" s="212"/>
      <c r="G115" s="212"/>
      <c r="H115" s="212"/>
      <c r="I115" s="212"/>
      <c r="J115" s="212"/>
      <c r="K115" s="212"/>
      <c r="L115" s="213"/>
    </row>
    <row r="116" spans="1:12" ht="15" customHeight="1" x14ac:dyDescent="0.2">
      <c r="A116" s="214"/>
      <c r="B116" s="212"/>
      <c r="C116" s="212"/>
      <c r="D116" s="212"/>
      <c r="E116" s="212"/>
      <c r="F116" s="212"/>
      <c r="G116" s="212"/>
      <c r="H116" s="212"/>
      <c r="I116" s="212"/>
      <c r="J116" s="212"/>
      <c r="K116" s="212"/>
      <c r="L116" s="213"/>
    </row>
    <row r="117" spans="1:12" ht="15" customHeight="1" x14ac:dyDescent="0.2">
      <c r="A117" s="214"/>
      <c r="B117" s="212"/>
      <c r="C117" s="212"/>
      <c r="D117" s="212"/>
      <c r="E117" s="212"/>
      <c r="F117" s="212"/>
      <c r="G117" s="212"/>
      <c r="H117" s="212"/>
      <c r="I117" s="212"/>
      <c r="J117" s="212"/>
      <c r="K117" s="212"/>
      <c r="L117" s="213"/>
    </row>
    <row r="118" spans="1:12" ht="15" customHeight="1" x14ac:dyDescent="0.2">
      <c r="A118" s="214"/>
      <c r="B118" s="212"/>
      <c r="C118" s="212"/>
      <c r="D118" s="212"/>
      <c r="E118" s="212"/>
      <c r="F118" s="212"/>
      <c r="G118" s="212"/>
      <c r="H118" s="212"/>
      <c r="I118" s="212"/>
      <c r="J118" s="212"/>
      <c r="K118" s="212"/>
      <c r="L118" s="213"/>
    </row>
    <row r="119" spans="1:12" ht="15" customHeight="1" x14ac:dyDescent="0.2">
      <c r="A119" s="214"/>
      <c r="B119" s="212"/>
      <c r="C119" s="212"/>
      <c r="D119" s="212"/>
      <c r="E119" s="212"/>
      <c r="F119" s="212"/>
      <c r="G119" s="212"/>
      <c r="H119" s="212"/>
      <c r="I119" s="212"/>
      <c r="J119" s="212"/>
      <c r="K119" s="212"/>
      <c r="L119" s="213"/>
    </row>
    <row r="120" spans="1:12" ht="15" customHeight="1" x14ac:dyDescent="0.2">
      <c r="A120" s="214"/>
      <c r="B120" s="212"/>
      <c r="C120" s="212"/>
      <c r="D120" s="212"/>
      <c r="E120" s="212"/>
      <c r="F120" s="212"/>
      <c r="G120" s="212"/>
      <c r="H120" s="212"/>
      <c r="I120" s="212"/>
      <c r="J120" s="212"/>
      <c r="K120" s="212"/>
      <c r="L120" s="213"/>
    </row>
    <row r="121" spans="1:12" ht="15" customHeight="1" x14ac:dyDescent="0.2">
      <c r="A121" s="218"/>
      <c r="B121" s="219"/>
      <c r="C121" s="219"/>
      <c r="D121" s="219"/>
      <c r="E121" s="219"/>
      <c r="F121" s="219"/>
      <c r="G121" s="219"/>
      <c r="H121" s="219"/>
      <c r="I121" s="219"/>
      <c r="J121" s="219"/>
      <c r="K121" s="219"/>
      <c r="L121" s="213"/>
    </row>
    <row r="122" spans="1:12" ht="15" customHeight="1" x14ac:dyDescent="0.2">
      <c r="A122" s="218"/>
      <c r="B122" s="219"/>
      <c r="C122" s="219"/>
      <c r="D122" s="219"/>
      <c r="E122" s="219"/>
      <c r="F122" s="219"/>
      <c r="G122" s="219"/>
      <c r="H122" s="219"/>
      <c r="I122" s="219"/>
      <c r="J122" s="219"/>
      <c r="K122" s="219"/>
      <c r="L122" s="213"/>
    </row>
    <row r="123" spans="1:12" ht="15" customHeight="1" x14ac:dyDescent="0.2">
      <c r="A123" s="218"/>
      <c r="B123" s="219"/>
      <c r="C123" s="219"/>
      <c r="D123" s="219"/>
      <c r="E123" s="219"/>
      <c r="F123" s="219"/>
      <c r="G123" s="219"/>
      <c r="H123" s="219"/>
      <c r="I123" s="219"/>
      <c r="J123" s="219"/>
      <c r="K123" s="219"/>
      <c r="L123" s="213"/>
    </row>
    <row r="124" spans="1:12" ht="15" customHeight="1" x14ac:dyDescent="0.2">
      <c r="A124" s="218"/>
      <c r="B124" s="219"/>
      <c r="C124" s="219"/>
      <c r="D124" s="219"/>
      <c r="E124" s="219"/>
      <c r="F124" s="219"/>
      <c r="G124" s="219"/>
      <c r="H124" s="219"/>
      <c r="I124" s="219"/>
      <c r="J124" s="219"/>
      <c r="K124" s="219"/>
      <c r="L124" s="213"/>
    </row>
    <row r="125" spans="1:12" ht="15" customHeight="1" x14ac:dyDescent="0.2">
      <c r="A125" s="218"/>
      <c r="B125" s="219"/>
      <c r="C125" s="219"/>
      <c r="D125" s="219"/>
      <c r="E125" s="219"/>
      <c r="F125" s="219"/>
      <c r="G125" s="219"/>
      <c r="H125" s="219"/>
      <c r="I125" s="219"/>
      <c r="J125" s="219"/>
      <c r="K125" s="219"/>
      <c r="L125" s="213"/>
    </row>
    <row r="126" spans="1:12" ht="15" customHeight="1" x14ac:dyDescent="0.2">
      <c r="A126" s="218"/>
      <c r="B126" s="219"/>
      <c r="C126" s="219"/>
      <c r="D126" s="219"/>
      <c r="E126" s="219"/>
      <c r="F126" s="219"/>
      <c r="G126" s="219"/>
      <c r="H126" s="219"/>
      <c r="I126" s="219"/>
      <c r="J126" s="219"/>
      <c r="K126" s="219"/>
      <c r="L126" s="213"/>
    </row>
    <row r="127" spans="1:12" ht="15" customHeight="1" x14ac:dyDescent="0.2">
      <c r="A127" s="218"/>
      <c r="B127" s="219"/>
      <c r="C127" s="219"/>
      <c r="D127" s="219"/>
      <c r="E127" s="219"/>
      <c r="F127" s="219"/>
      <c r="G127" s="219"/>
      <c r="H127" s="219"/>
      <c r="I127" s="219"/>
      <c r="J127" s="219"/>
      <c r="K127" s="219"/>
      <c r="L127" s="213"/>
    </row>
    <row r="128" spans="1:12" ht="15" customHeight="1" x14ac:dyDescent="0.2">
      <c r="A128" s="218"/>
      <c r="B128" s="219"/>
      <c r="C128" s="219"/>
      <c r="D128" s="219"/>
      <c r="E128" s="219"/>
      <c r="F128" s="219"/>
      <c r="G128" s="219"/>
      <c r="H128" s="219"/>
      <c r="I128" s="219"/>
      <c r="J128" s="219"/>
      <c r="K128" s="219"/>
      <c r="L128" s="213"/>
    </row>
    <row r="129" spans="1:12" ht="15" customHeight="1" x14ac:dyDescent="0.2">
      <c r="A129" s="218"/>
      <c r="B129" s="219"/>
      <c r="C129" s="219"/>
      <c r="D129" s="219"/>
      <c r="E129" s="219"/>
      <c r="F129" s="219"/>
      <c r="G129" s="219"/>
      <c r="H129" s="219"/>
      <c r="I129" s="219"/>
      <c r="J129" s="219"/>
      <c r="K129" s="219"/>
      <c r="L129" s="213"/>
    </row>
    <row r="130" spans="1:12" ht="15" customHeight="1" x14ac:dyDescent="0.2">
      <c r="A130" s="218"/>
      <c r="B130" s="219"/>
      <c r="C130" s="219"/>
      <c r="D130" s="219"/>
      <c r="E130" s="219"/>
      <c r="F130" s="219"/>
      <c r="G130" s="219"/>
      <c r="H130" s="219"/>
      <c r="I130" s="219"/>
      <c r="J130" s="219"/>
      <c r="K130" s="219"/>
      <c r="L130" s="213"/>
    </row>
    <row r="131" spans="1:12" ht="15" customHeight="1" x14ac:dyDescent="0.2">
      <c r="A131" s="220">
        <v>2</v>
      </c>
      <c r="B131" s="221" t="s">
        <v>253</v>
      </c>
      <c r="C131" s="212"/>
      <c r="D131" s="212"/>
      <c r="E131" s="212"/>
      <c r="F131" s="212"/>
      <c r="G131" s="212"/>
      <c r="H131" s="212"/>
      <c r="I131" s="212"/>
      <c r="J131" s="212"/>
      <c r="K131" s="212"/>
      <c r="L131" s="213"/>
    </row>
    <row r="132" spans="1:12" ht="15" customHeight="1" x14ac:dyDescent="0.2">
      <c r="A132" s="218"/>
      <c r="B132" s="221" t="s">
        <v>254</v>
      </c>
      <c r="C132" s="212"/>
      <c r="D132" s="212"/>
      <c r="E132" s="212"/>
      <c r="F132" s="212"/>
      <c r="G132" s="212"/>
      <c r="H132" s="212"/>
      <c r="I132" s="212"/>
      <c r="J132" s="212"/>
      <c r="K132" s="212"/>
      <c r="L132" s="213"/>
    </row>
    <row r="133" spans="1:12" ht="15" customHeight="1" x14ac:dyDescent="0.2">
      <c r="A133" s="214"/>
      <c r="B133" s="221" t="s">
        <v>255</v>
      </c>
      <c r="C133" s="212"/>
      <c r="D133" s="212"/>
      <c r="E133" s="212"/>
      <c r="F133" s="212"/>
      <c r="G133" s="212"/>
      <c r="H133" s="212"/>
      <c r="I133" s="212"/>
      <c r="J133" s="212"/>
      <c r="K133" s="212"/>
      <c r="L133" s="213"/>
    </row>
    <row r="134" spans="1:12" ht="15" customHeight="1" x14ac:dyDescent="0.2">
      <c r="A134" s="214"/>
      <c r="B134" s="212"/>
      <c r="C134" s="212"/>
      <c r="D134" s="212"/>
      <c r="E134" s="212"/>
      <c r="F134" s="212"/>
      <c r="G134" s="212"/>
      <c r="H134" s="212"/>
      <c r="I134" s="212"/>
      <c r="J134" s="212"/>
      <c r="K134" s="212"/>
      <c r="L134" s="213"/>
    </row>
    <row r="135" spans="1:12" ht="15" customHeight="1" x14ac:dyDescent="0.2">
      <c r="A135" s="214"/>
      <c r="B135" s="212"/>
      <c r="C135" s="212"/>
      <c r="D135" s="212"/>
      <c r="E135" s="212"/>
      <c r="F135" s="212"/>
      <c r="G135" s="212"/>
      <c r="H135" s="212"/>
      <c r="I135" s="212"/>
      <c r="J135" s="212"/>
      <c r="K135" s="212"/>
      <c r="L135" s="213"/>
    </row>
    <row r="136" spans="1:12" ht="15" customHeight="1" x14ac:dyDescent="0.2">
      <c r="A136" s="222"/>
      <c r="B136" s="223"/>
      <c r="C136" s="223"/>
      <c r="D136" s="223"/>
      <c r="E136" s="223"/>
      <c r="F136" s="223"/>
      <c r="G136" s="223"/>
      <c r="H136" s="223"/>
      <c r="I136" s="223"/>
      <c r="J136" s="223"/>
      <c r="K136" s="223"/>
      <c r="L136" s="224"/>
    </row>
  </sheetData>
  <pageMargins left="0.6" right="0.5" top="0.5" bottom="0.5" header="0.3" footer="0.3"/>
  <pageSetup orientation="portrait"/>
  <headerFooter>
    <oddFooter>&amp;L&amp;"Calibri,Regular"&amp;12&amp;K000000New Budget Template 2022 2023 v51122(1).xlsx&amp;C&amp;"Calibri,Regular"&amp;12&amp;K000000Instructions&amp;R&amp;"Calibri,Regular"&amp;12&amp;K000000Page &amp;P of &amp;N</oddFooter>
  </headerFooter>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E86"/>
  <sheetViews>
    <sheetView showGridLines="0" zoomScale="85" workbookViewId="0">
      <pane xSplit="1" ySplit="2" topLeftCell="B64" activePane="bottomRight" state="frozen"/>
      <selection pane="topRight"/>
      <selection pane="bottomLeft"/>
      <selection pane="bottomRight" activeCell="C87" sqref="C87"/>
    </sheetView>
  </sheetViews>
  <sheetFormatPr baseColWidth="10" defaultColWidth="16.33203125" defaultRowHeight="16.75" customHeight="1" x14ac:dyDescent="0.2"/>
  <cols>
    <col min="1" max="1" width="34.6640625" style="5" customWidth="1"/>
    <col min="2" max="2" width="94" style="5" customWidth="1"/>
    <col min="3" max="3" width="91.33203125" style="5" customWidth="1"/>
    <col min="4" max="6" width="16.33203125" style="5" customWidth="1"/>
    <col min="7" max="16384" width="16.33203125" style="5"/>
  </cols>
  <sheetData>
    <row r="1" spans="1:5" ht="15.5" customHeight="1" x14ac:dyDescent="0.2">
      <c r="A1" s="421" t="s">
        <v>5</v>
      </c>
      <c r="B1" s="421"/>
      <c r="C1" s="421"/>
      <c r="D1" s="421"/>
      <c r="E1" s="421"/>
    </row>
    <row r="2" spans="1:5" ht="14.75" customHeight="1" x14ac:dyDescent="0.2">
      <c r="A2" s="225" t="s">
        <v>257</v>
      </c>
      <c r="B2" s="225" t="s">
        <v>258</v>
      </c>
      <c r="C2" s="225" t="s">
        <v>259</v>
      </c>
      <c r="D2" s="226"/>
      <c r="E2" s="226"/>
    </row>
    <row r="3" spans="1:5" ht="44.75" customHeight="1" x14ac:dyDescent="0.2">
      <c r="A3" s="227" t="s">
        <v>260</v>
      </c>
      <c r="B3" s="228" t="s">
        <v>261</v>
      </c>
      <c r="C3" s="229" t="s">
        <v>262</v>
      </c>
      <c r="D3" s="230"/>
      <c r="E3" s="230"/>
    </row>
    <row r="4" spans="1:5" ht="44.75" customHeight="1" x14ac:dyDescent="0.2">
      <c r="A4" s="231" t="s">
        <v>110</v>
      </c>
      <c r="B4" s="232" t="s">
        <v>263</v>
      </c>
      <c r="C4" s="233" t="s">
        <v>264</v>
      </c>
      <c r="D4" s="234"/>
      <c r="E4" s="234"/>
    </row>
    <row r="5" spans="1:5" ht="14.75" customHeight="1" x14ac:dyDescent="0.2">
      <c r="A5" s="235"/>
      <c r="B5" s="236"/>
      <c r="C5" s="234"/>
      <c r="D5" s="234"/>
      <c r="E5" s="234"/>
    </row>
    <row r="6" spans="1:5" ht="14.75" customHeight="1" x14ac:dyDescent="0.2">
      <c r="A6" s="231" t="s">
        <v>4</v>
      </c>
      <c r="B6" s="232" t="s">
        <v>265</v>
      </c>
      <c r="C6" s="233" t="s">
        <v>266</v>
      </c>
      <c r="D6" s="234"/>
      <c r="E6" s="234"/>
    </row>
    <row r="7" spans="1:5" ht="29.75" customHeight="1" x14ac:dyDescent="0.2">
      <c r="A7" s="231" t="s">
        <v>260</v>
      </c>
      <c r="B7" s="232" t="s">
        <v>267</v>
      </c>
      <c r="C7" s="233" t="s">
        <v>268</v>
      </c>
      <c r="D7" s="234"/>
      <c r="E7" s="234"/>
    </row>
    <row r="8" spans="1:5" ht="14.75" customHeight="1" x14ac:dyDescent="0.2">
      <c r="A8" s="235"/>
      <c r="B8" s="236"/>
      <c r="C8" s="234"/>
      <c r="D8" s="234"/>
      <c r="E8" s="234"/>
    </row>
    <row r="9" spans="1:5" ht="29.75" customHeight="1" x14ac:dyDescent="0.2">
      <c r="A9" s="231" t="s">
        <v>4</v>
      </c>
      <c r="B9" s="232" t="s">
        <v>269</v>
      </c>
      <c r="C9" s="233" t="s">
        <v>270</v>
      </c>
      <c r="D9" s="234"/>
      <c r="E9" s="234"/>
    </row>
    <row r="10" spans="1:5" ht="14.75" customHeight="1" x14ac:dyDescent="0.2">
      <c r="A10" s="237"/>
      <c r="B10" s="238"/>
      <c r="C10" s="239"/>
      <c r="D10" s="239"/>
      <c r="E10" s="239"/>
    </row>
    <row r="11" spans="1:5" ht="14.75" customHeight="1" x14ac:dyDescent="0.2">
      <c r="A11" s="240" t="s">
        <v>148</v>
      </c>
      <c r="B11" s="241" t="s">
        <v>271</v>
      </c>
      <c r="C11" s="242" t="s">
        <v>272</v>
      </c>
      <c r="D11" s="239"/>
      <c r="E11" s="239"/>
    </row>
    <row r="12" spans="1:5" ht="14.75" customHeight="1" x14ac:dyDescent="0.2">
      <c r="A12" s="240" t="s">
        <v>148</v>
      </c>
      <c r="B12" s="241" t="s">
        <v>273</v>
      </c>
      <c r="C12" s="242" t="s">
        <v>274</v>
      </c>
      <c r="D12" s="239"/>
      <c r="E12" s="239"/>
    </row>
    <row r="13" spans="1:5" ht="14.75" customHeight="1" x14ac:dyDescent="0.2">
      <c r="A13" s="240" t="s">
        <v>185</v>
      </c>
      <c r="B13" s="241" t="s">
        <v>275</v>
      </c>
      <c r="C13" s="242" t="s">
        <v>276</v>
      </c>
      <c r="D13" s="239"/>
      <c r="E13" s="239"/>
    </row>
    <row r="14" spans="1:5" ht="14.75" customHeight="1" x14ac:dyDescent="0.2">
      <c r="A14" s="240" t="s">
        <v>4</v>
      </c>
      <c r="B14" s="241" t="s">
        <v>277</v>
      </c>
      <c r="C14" s="239"/>
      <c r="D14" s="239"/>
      <c r="E14" s="239"/>
    </row>
    <row r="15" spans="1:5" ht="14.75" customHeight="1" x14ac:dyDescent="0.2">
      <c r="A15" s="240" t="s">
        <v>185</v>
      </c>
      <c r="B15" s="241" t="s">
        <v>278</v>
      </c>
      <c r="C15" s="242" t="s">
        <v>279</v>
      </c>
      <c r="D15" s="239"/>
      <c r="E15" s="239"/>
    </row>
    <row r="16" spans="1:5" ht="14.75" customHeight="1" x14ac:dyDescent="0.2">
      <c r="A16" s="240" t="s">
        <v>4</v>
      </c>
      <c r="B16" s="241" t="s">
        <v>280</v>
      </c>
      <c r="C16" s="242" t="s">
        <v>281</v>
      </c>
      <c r="D16" s="239"/>
      <c r="E16" s="239"/>
    </row>
    <row r="17" spans="1:5" ht="14.75" customHeight="1" x14ac:dyDescent="0.2">
      <c r="A17" s="240" t="s">
        <v>4</v>
      </c>
      <c r="B17" s="241" t="s">
        <v>282</v>
      </c>
      <c r="C17" s="242" t="s">
        <v>283</v>
      </c>
      <c r="D17" s="239"/>
      <c r="E17" s="239"/>
    </row>
    <row r="18" spans="1:5" ht="14.75" customHeight="1" x14ac:dyDescent="0.2">
      <c r="A18" s="240" t="s">
        <v>4</v>
      </c>
      <c r="B18" s="241" t="s">
        <v>284</v>
      </c>
      <c r="C18" s="242" t="s">
        <v>285</v>
      </c>
      <c r="D18" s="239"/>
      <c r="E18" s="239"/>
    </row>
    <row r="19" spans="1:5" ht="14.75" customHeight="1" x14ac:dyDescent="0.2">
      <c r="A19" s="240" t="s">
        <v>185</v>
      </c>
      <c r="B19" s="241" t="s">
        <v>286</v>
      </c>
      <c r="C19" s="242" t="s">
        <v>287</v>
      </c>
      <c r="D19" s="239"/>
      <c r="E19" s="239"/>
    </row>
    <row r="20" spans="1:5" ht="14.75" customHeight="1" x14ac:dyDescent="0.2">
      <c r="A20" s="240" t="s">
        <v>148</v>
      </c>
      <c r="B20" s="241" t="s">
        <v>288</v>
      </c>
      <c r="C20" s="242" t="s">
        <v>289</v>
      </c>
      <c r="D20" s="239"/>
      <c r="E20" s="239"/>
    </row>
    <row r="21" spans="1:5" ht="14.75" customHeight="1" x14ac:dyDescent="0.2">
      <c r="A21" s="243" t="s">
        <v>4</v>
      </c>
      <c r="B21" s="241" t="s">
        <v>290</v>
      </c>
      <c r="C21" s="242" t="s">
        <v>291</v>
      </c>
      <c r="D21" s="239"/>
      <c r="E21" s="239"/>
    </row>
    <row r="22" spans="1:5" ht="14.75" customHeight="1" x14ac:dyDescent="0.2">
      <c r="A22" s="243" t="s">
        <v>148</v>
      </c>
      <c r="B22" s="241" t="s">
        <v>292</v>
      </c>
      <c r="C22" s="242" t="s">
        <v>293</v>
      </c>
      <c r="D22" s="239"/>
      <c r="E22" s="239"/>
    </row>
    <row r="23" spans="1:5" ht="14.75" customHeight="1" x14ac:dyDescent="0.2">
      <c r="A23" s="243" t="s">
        <v>148</v>
      </c>
      <c r="B23" s="241" t="s">
        <v>294</v>
      </c>
      <c r="C23" s="242" t="s">
        <v>295</v>
      </c>
      <c r="D23" s="239"/>
      <c r="E23" s="239"/>
    </row>
    <row r="24" spans="1:5" ht="14.75" customHeight="1" x14ac:dyDescent="0.2">
      <c r="A24" s="243" t="s">
        <v>185</v>
      </c>
      <c r="B24" s="241" t="s">
        <v>296</v>
      </c>
      <c r="C24" s="242" t="s">
        <v>297</v>
      </c>
      <c r="D24" s="239"/>
      <c r="E24" s="239"/>
    </row>
    <row r="25" spans="1:5" ht="14.75" customHeight="1" x14ac:dyDescent="0.2">
      <c r="A25" s="243" t="s">
        <v>185</v>
      </c>
      <c r="B25" s="241" t="s">
        <v>298</v>
      </c>
      <c r="C25" s="242" t="s">
        <v>299</v>
      </c>
      <c r="D25" s="239"/>
      <c r="E25" s="239"/>
    </row>
    <row r="26" spans="1:5" ht="14.75" customHeight="1" x14ac:dyDescent="0.2">
      <c r="A26" s="243" t="s">
        <v>185</v>
      </c>
      <c r="B26" s="241" t="s">
        <v>300</v>
      </c>
      <c r="C26" s="239"/>
      <c r="D26" s="239"/>
      <c r="E26" s="239"/>
    </row>
    <row r="27" spans="1:5" ht="14.75" customHeight="1" x14ac:dyDescent="0.2">
      <c r="A27" s="244" t="s">
        <v>301</v>
      </c>
      <c r="B27" s="245" t="s">
        <v>302</v>
      </c>
      <c r="C27" s="239"/>
      <c r="D27" s="239"/>
      <c r="E27" s="239"/>
    </row>
    <row r="28" spans="1:5" ht="14.75" customHeight="1" x14ac:dyDescent="0.2">
      <c r="A28" s="244" t="s">
        <v>303</v>
      </c>
      <c r="B28" s="245" t="s">
        <v>304</v>
      </c>
      <c r="C28" s="242" t="s">
        <v>305</v>
      </c>
      <c r="D28" s="239"/>
      <c r="E28" s="239"/>
    </row>
    <row r="29" spans="1:5" ht="14.75" customHeight="1" x14ac:dyDescent="0.2">
      <c r="A29" s="246" t="s">
        <v>148</v>
      </c>
      <c r="B29" s="247" t="s">
        <v>306</v>
      </c>
      <c r="C29" s="239"/>
      <c r="D29" s="239"/>
      <c r="E29" s="239"/>
    </row>
    <row r="30" spans="1:5" ht="16.75" customHeight="1" x14ac:dyDescent="0.2">
      <c r="A30" s="269" t="s">
        <v>314</v>
      </c>
      <c r="B30" s="269" t="s">
        <v>321</v>
      </c>
      <c r="C30" s="269" t="s">
        <v>315</v>
      </c>
    </row>
    <row r="31" spans="1:5" ht="16.75" customHeight="1" x14ac:dyDescent="0.2">
      <c r="A31" s="269" t="s">
        <v>185</v>
      </c>
      <c r="B31" s="269" t="s">
        <v>319</v>
      </c>
      <c r="C31" s="269" t="s">
        <v>320</v>
      </c>
    </row>
    <row r="32" spans="1:5" ht="16.75" customHeight="1" x14ac:dyDescent="0.2">
      <c r="A32" s="269" t="s">
        <v>185</v>
      </c>
      <c r="B32" s="269" t="s">
        <v>325</v>
      </c>
      <c r="C32" s="271" t="s">
        <v>326</v>
      </c>
    </row>
    <row r="33" spans="1:3" ht="16.75" customHeight="1" x14ac:dyDescent="0.2">
      <c r="A33" s="271" t="s">
        <v>327</v>
      </c>
      <c r="B33" s="271" t="s">
        <v>345</v>
      </c>
    </row>
    <row r="34" spans="1:3" ht="16.75" customHeight="1" x14ac:dyDescent="0.2">
      <c r="A34" s="271" t="s">
        <v>148</v>
      </c>
      <c r="B34" s="271" t="s">
        <v>328</v>
      </c>
      <c r="C34" s="272" t="s">
        <v>329</v>
      </c>
    </row>
    <row r="35" spans="1:3" ht="16.75" customHeight="1" x14ac:dyDescent="0.2">
      <c r="A35" s="271" t="s">
        <v>148</v>
      </c>
      <c r="B35" s="271" t="s">
        <v>330</v>
      </c>
      <c r="C35" s="272" t="s">
        <v>331</v>
      </c>
    </row>
    <row r="36" spans="1:3" ht="16.75" customHeight="1" x14ac:dyDescent="0.2">
      <c r="A36" s="271" t="s">
        <v>185</v>
      </c>
      <c r="B36" s="271" t="s">
        <v>332</v>
      </c>
      <c r="C36" s="272" t="s">
        <v>333</v>
      </c>
    </row>
    <row r="37" spans="1:3" ht="16.75" customHeight="1" x14ac:dyDescent="0.2">
      <c r="A37" s="271" t="s">
        <v>185</v>
      </c>
      <c r="C37" s="272" t="s">
        <v>334</v>
      </c>
    </row>
    <row r="38" spans="1:3" ht="16.75" customHeight="1" x14ac:dyDescent="0.2">
      <c r="A38" s="271" t="s">
        <v>337</v>
      </c>
      <c r="B38" s="5" t="s">
        <v>335</v>
      </c>
      <c r="C38" s="272" t="s">
        <v>336</v>
      </c>
    </row>
    <row r="39" spans="1:3" ht="16.75" customHeight="1" x14ac:dyDescent="0.2">
      <c r="A39" s="271" t="s">
        <v>185</v>
      </c>
      <c r="B39" s="5" t="s">
        <v>339</v>
      </c>
      <c r="C39" s="5" t="s">
        <v>338</v>
      </c>
    </row>
    <row r="40" spans="1:3" ht="16.75" customHeight="1" x14ac:dyDescent="0.2">
      <c r="A40" s="271" t="s">
        <v>148</v>
      </c>
      <c r="B40" s="5" t="s">
        <v>340</v>
      </c>
    </row>
    <row r="41" spans="1:3" ht="16.75" customHeight="1" x14ac:dyDescent="0.2">
      <c r="A41" s="271" t="s">
        <v>341</v>
      </c>
      <c r="B41" s="5" t="s">
        <v>342</v>
      </c>
      <c r="C41" s="5" t="s">
        <v>343</v>
      </c>
    </row>
    <row r="42" spans="1:3" ht="16.75" customHeight="1" x14ac:dyDescent="0.2">
      <c r="A42" s="271" t="s">
        <v>185</v>
      </c>
      <c r="B42" s="269" t="s">
        <v>346</v>
      </c>
      <c r="C42" s="5" t="s">
        <v>344</v>
      </c>
    </row>
    <row r="43" spans="1:3" ht="16.75" customHeight="1" x14ac:dyDescent="0.2">
      <c r="A43" s="271" t="s">
        <v>341</v>
      </c>
      <c r="B43" s="269" t="s">
        <v>352</v>
      </c>
      <c r="C43" s="5" t="s">
        <v>353</v>
      </c>
    </row>
    <row r="44" spans="1:3" ht="16.75" customHeight="1" x14ac:dyDescent="0.2">
      <c r="A44" s="271" t="s">
        <v>185</v>
      </c>
      <c r="B44" s="269" t="s">
        <v>355</v>
      </c>
      <c r="C44" s="5" t="s">
        <v>356</v>
      </c>
    </row>
    <row r="45" spans="1:3" ht="16.75" customHeight="1" x14ac:dyDescent="0.2">
      <c r="A45" s="271" t="s">
        <v>185</v>
      </c>
      <c r="B45" s="269" t="s">
        <v>357</v>
      </c>
      <c r="C45" s="5" t="s">
        <v>358</v>
      </c>
    </row>
    <row r="46" spans="1:3" ht="16.75" customHeight="1" x14ac:dyDescent="0.2">
      <c r="A46" s="271" t="s">
        <v>185</v>
      </c>
      <c r="B46" s="269" t="s">
        <v>360</v>
      </c>
      <c r="C46" s="5" t="s">
        <v>361</v>
      </c>
    </row>
    <row r="47" spans="1:3" ht="16.75" customHeight="1" x14ac:dyDescent="0.2">
      <c r="A47" s="271" t="s">
        <v>341</v>
      </c>
      <c r="B47" s="269" t="s">
        <v>362</v>
      </c>
      <c r="C47" s="5" t="s">
        <v>363</v>
      </c>
    </row>
    <row r="48" spans="1:3" ht="16.75" customHeight="1" x14ac:dyDescent="0.2">
      <c r="A48" s="271" t="s">
        <v>341</v>
      </c>
      <c r="B48" s="269" t="s">
        <v>364</v>
      </c>
      <c r="C48" s="5" t="s">
        <v>365</v>
      </c>
    </row>
    <row r="49" spans="1:3" ht="16.75" customHeight="1" x14ac:dyDescent="0.2">
      <c r="A49" s="271" t="s">
        <v>185</v>
      </c>
      <c r="B49" s="269" t="s">
        <v>367</v>
      </c>
      <c r="C49" s="5" t="s">
        <v>368</v>
      </c>
    </row>
    <row r="50" spans="1:3" ht="16.75" customHeight="1" x14ac:dyDescent="0.2">
      <c r="A50" s="271" t="s">
        <v>185</v>
      </c>
      <c r="B50" s="269" t="s">
        <v>369</v>
      </c>
      <c r="C50" s="5" t="s">
        <v>370</v>
      </c>
    </row>
    <row r="51" spans="1:3" ht="16.75" customHeight="1" x14ac:dyDescent="0.2">
      <c r="A51" s="271" t="s">
        <v>4</v>
      </c>
      <c r="B51" s="269" t="s">
        <v>371</v>
      </c>
      <c r="C51" s="269" t="s">
        <v>372</v>
      </c>
    </row>
    <row r="52" spans="1:3" ht="16.75" customHeight="1" x14ac:dyDescent="0.2">
      <c r="A52" s="271" t="s">
        <v>148</v>
      </c>
      <c r="B52" s="269" t="s">
        <v>373</v>
      </c>
      <c r="C52" s="269" t="s">
        <v>374</v>
      </c>
    </row>
    <row r="53" spans="1:3" ht="16.75" customHeight="1" x14ac:dyDescent="0.2">
      <c r="A53" s="271" t="s">
        <v>341</v>
      </c>
      <c r="B53" s="269" t="s">
        <v>376</v>
      </c>
      <c r="C53" s="269" t="s">
        <v>375</v>
      </c>
    </row>
    <row r="54" spans="1:3" ht="16.75" customHeight="1" x14ac:dyDescent="0.2">
      <c r="A54" s="271" t="s">
        <v>341</v>
      </c>
      <c r="B54" s="269" t="s">
        <v>377</v>
      </c>
      <c r="C54" s="269" t="s">
        <v>378</v>
      </c>
    </row>
    <row r="55" spans="1:3" ht="16.75" customHeight="1" x14ac:dyDescent="0.2">
      <c r="A55" s="271" t="s">
        <v>341</v>
      </c>
      <c r="B55" s="269" t="s">
        <v>379</v>
      </c>
      <c r="C55" s="269" t="s">
        <v>380</v>
      </c>
    </row>
    <row r="56" spans="1:3" ht="16.75" customHeight="1" x14ac:dyDescent="0.2">
      <c r="A56" s="271" t="s">
        <v>341</v>
      </c>
      <c r="B56" s="269" t="s">
        <v>381</v>
      </c>
      <c r="C56" s="269" t="s">
        <v>382</v>
      </c>
    </row>
    <row r="57" spans="1:3" ht="16.75" customHeight="1" x14ac:dyDescent="0.2">
      <c r="A57" s="271" t="s">
        <v>185</v>
      </c>
      <c r="B57" s="269" t="s">
        <v>384</v>
      </c>
      <c r="C57" s="269" t="s">
        <v>385</v>
      </c>
    </row>
    <row r="58" spans="1:3" ht="16.75" customHeight="1" x14ac:dyDescent="0.2">
      <c r="A58" s="271" t="s">
        <v>148</v>
      </c>
      <c r="B58" s="269" t="s">
        <v>387</v>
      </c>
    </row>
    <row r="59" spans="1:3" ht="16.75" customHeight="1" x14ac:dyDescent="0.2">
      <c r="A59" s="271" t="s">
        <v>185</v>
      </c>
      <c r="B59" s="269" t="s">
        <v>393</v>
      </c>
      <c r="C59" s="5" t="s">
        <v>394</v>
      </c>
    </row>
    <row r="60" spans="1:3" ht="16.75" customHeight="1" x14ac:dyDescent="0.2">
      <c r="A60" s="271" t="s">
        <v>185</v>
      </c>
      <c r="B60" s="269" t="s">
        <v>395</v>
      </c>
      <c r="C60" s="5" t="s">
        <v>396</v>
      </c>
    </row>
    <row r="61" spans="1:3" ht="16.75" customHeight="1" x14ac:dyDescent="0.2">
      <c r="A61" s="271" t="s">
        <v>185</v>
      </c>
      <c r="B61" s="269" t="s">
        <v>400</v>
      </c>
      <c r="C61" s="5" t="s">
        <v>401</v>
      </c>
    </row>
    <row r="62" spans="1:3" ht="16.75" customHeight="1" x14ac:dyDescent="0.2">
      <c r="A62" s="271" t="s">
        <v>148</v>
      </c>
      <c r="B62" s="269" t="s">
        <v>410</v>
      </c>
      <c r="C62" s="5" t="s">
        <v>411</v>
      </c>
    </row>
    <row r="63" spans="1:3" ht="16.75" customHeight="1" x14ac:dyDescent="0.2">
      <c r="A63" s="271" t="s">
        <v>4</v>
      </c>
      <c r="B63" s="269" t="s">
        <v>412</v>
      </c>
      <c r="C63" s="5" t="s">
        <v>413</v>
      </c>
    </row>
    <row r="64" spans="1:3" ht="16.75" customHeight="1" x14ac:dyDescent="0.2">
      <c r="A64" s="271" t="s">
        <v>4</v>
      </c>
      <c r="B64" s="269" t="s">
        <v>414</v>
      </c>
      <c r="C64" s="5" t="s">
        <v>415</v>
      </c>
    </row>
    <row r="65" spans="1:3" ht="16.75" customHeight="1" x14ac:dyDescent="0.2">
      <c r="A65" s="271" t="s">
        <v>148</v>
      </c>
      <c r="B65" s="269" t="s">
        <v>427</v>
      </c>
      <c r="C65" s="5" t="s">
        <v>428</v>
      </c>
    </row>
    <row r="66" spans="1:3" ht="16.75" customHeight="1" x14ac:dyDescent="0.2">
      <c r="A66" s="271" t="s">
        <v>148</v>
      </c>
      <c r="B66" s="269" t="s">
        <v>430</v>
      </c>
      <c r="C66" s="5" t="s">
        <v>431</v>
      </c>
    </row>
    <row r="67" spans="1:3" ht="16.75" customHeight="1" x14ac:dyDescent="0.2">
      <c r="A67" s="271" t="s">
        <v>185</v>
      </c>
      <c r="B67" s="269" t="s">
        <v>432</v>
      </c>
      <c r="C67" s="269" t="s">
        <v>434</v>
      </c>
    </row>
    <row r="68" spans="1:3" ht="16.75" customHeight="1" x14ac:dyDescent="0.2">
      <c r="A68" s="271" t="s">
        <v>185</v>
      </c>
      <c r="B68" s="269" t="s">
        <v>435</v>
      </c>
      <c r="C68" s="269" t="s">
        <v>436</v>
      </c>
    </row>
    <row r="69" spans="1:3" ht="16.75" customHeight="1" x14ac:dyDescent="0.2">
      <c r="A69" s="271" t="s">
        <v>148</v>
      </c>
      <c r="B69" s="269" t="s">
        <v>437</v>
      </c>
      <c r="C69" s="269" t="s">
        <v>438</v>
      </c>
    </row>
    <row r="70" spans="1:3" ht="16.75" customHeight="1" x14ac:dyDescent="0.2">
      <c r="A70" s="271" t="s">
        <v>314</v>
      </c>
      <c r="B70" s="269" t="s">
        <v>443</v>
      </c>
      <c r="C70" s="269" t="s">
        <v>439</v>
      </c>
    </row>
    <row r="71" spans="1:3" ht="16.75" customHeight="1" x14ac:dyDescent="0.2">
      <c r="A71" s="271" t="s">
        <v>314</v>
      </c>
      <c r="B71" s="269" t="s">
        <v>440</v>
      </c>
      <c r="C71" s="269" t="s">
        <v>441</v>
      </c>
    </row>
    <row r="72" spans="1:3" ht="16.75" customHeight="1" x14ac:dyDescent="0.2">
      <c r="A72" s="271" t="s">
        <v>148</v>
      </c>
      <c r="B72" s="269" t="s">
        <v>444</v>
      </c>
      <c r="C72" s="269" t="s">
        <v>442</v>
      </c>
    </row>
    <row r="73" spans="1:3" ht="16.75" customHeight="1" x14ac:dyDescent="0.2">
      <c r="A73" s="271" t="s">
        <v>314</v>
      </c>
      <c r="B73" s="269" t="s">
        <v>445</v>
      </c>
      <c r="C73" s="269" t="s">
        <v>446</v>
      </c>
    </row>
    <row r="74" spans="1:3" ht="16.75" customHeight="1" x14ac:dyDescent="0.2">
      <c r="A74" s="271" t="s">
        <v>468</v>
      </c>
    </row>
    <row r="75" spans="1:3" ht="16.75" customHeight="1" x14ac:dyDescent="0.2">
      <c r="A75" s="271" t="s">
        <v>148</v>
      </c>
      <c r="B75" s="5" t="s">
        <v>447</v>
      </c>
      <c r="C75" s="5" t="s">
        <v>448</v>
      </c>
    </row>
    <row r="76" spans="1:3" ht="16.75" customHeight="1" x14ac:dyDescent="0.2">
      <c r="A76" s="271" t="s">
        <v>449</v>
      </c>
      <c r="B76" s="5" t="s">
        <v>450</v>
      </c>
      <c r="C76" s="5" t="s">
        <v>451</v>
      </c>
    </row>
    <row r="77" spans="1:3" ht="16.75" customHeight="1" x14ac:dyDescent="0.2">
      <c r="A77" s="271" t="s">
        <v>148</v>
      </c>
      <c r="B77" s="5" t="s">
        <v>452</v>
      </c>
      <c r="C77" s="5" t="s">
        <v>453</v>
      </c>
    </row>
    <row r="78" spans="1:3" ht="16.75" customHeight="1" x14ac:dyDescent="0.2">
      <c r="A78" s="271" t="s">
        <v>4</v>
      </c>
      <c r="B78" s="5" t="s">
        <v>454</v>
      </c>
      <c r="C78" s="5" t="s">
        <v>455</v>
      </c>
    </row>
    <row r="79" spans="1:3" ht="16.75" customHeight="1" x14ac:dyDescent="0.2">
      <c r="A79" s="271" t="s">
        <v>185</v>
      </c>
      <c r="B79" s="5" t="s">
        <v>457</v>
      </c>
      <c r="C79" s="5" t="s">
        <v>458</v>
      </c>
    </row>
    <row r="80" spans="1:3" ht="16.75" customHeight="1" x14ac:dyDescent="0.2">
      <c r="A80" s="271" t="s">
        <v>148</v>
      </c>
      <c r="B80" s="5" t="s">
        <v>459</v>
      </c>
      <c r="C80" s="269" t="s">
        <v>460</v>
      </c>
    </row>
    <row r="81" spans="1:3" ht="16.75" customHeight="1" x14ac:dyDescent="0.2">
      <c r="A81" s="271" t="s">
        <v>185</v>
      </c>
      <c r="B81" s="5" t="s">
        <v>463</v>
      </c>
      <c r="C81" s="269" t="s">
        <v>464</v>
      </c>
    </row>
    <row r="82" spans="1:3" ht="16.75" customHeight="1" x14ac:dyDescent="0.2">
      <c r="A82" s="271" t="s">
        <v>148</v>
      </c>
      <c r="B82" s="5" t="s">
        <v>469</v>
      </c>
      <c r="C82" s="269" t="s">
        <v>470</v>
      </c>
    </row>
    <row r="83" spans="1:3" ht="16.75" customHeight="1" x14ac:dyDescent="0.2">
      <c r="A83" s="271" t="s">
        <v>148</v>
      </c>
      <c r="B83" s="5" t="s">
        <v>471</v>
      </c>
      <c r="C83" s="269" t="s">
        <v>472</v>
      </c>
    </row>
    <row r="84" spans="1:3" ht="16.75" customHeight="1" x14ac:dyDescent="0.2">
      <c r="A84" s="271" t="s">
        <v>4</v>
      </c>
      <c r="B84" s="5" t="s">
        <v>473</v>
      </c>
      <c r="C84" s="269" t="s">
        <v>474</v>
      </c>
    </row>
    <row r="85" spans="1:3" ht="16.75" customHeight="1" x14ac:dyDescent="0.2">
      <c r="A85" s="271" t="s">
        <v>477</v>
      </c>
      <c r="B85" s="422" t="s">
        <v>478</v>
      </c>
      <c r="C85" s="269" t="s">
        <v>479</v>
      </c>
    </row>
    <row r="86" spans="1:3" ht="16.75" customHeight="1" x14ac:dyDescent="0.2">
      <c r="A86" s="271" t="s">
        <v>148</v>
      </c>
      <c r="B86" s="422" t="s">
        <v>480</v>
      </c>
      <c r="C86" s="269" t="s">
        <v>481</v>
      </c>
    </row>
  </sheetData>
  <mergeCells count="1">
    <mergeCell ref="A1:E1"/>
  </mergeCells>
  <pageMargins left="1" right="1" top="1" bottom="1" header="0.25" footer="0.25"/>
  <pageSetup orientation="portrait"/>
  <headerFooter>
    <oddFooter>&amp;C&amp;"Helvetica Neue,Regular"&amp;12&amp;K000000&amp;P</oddFooter>
  </headerFooter>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7</vt:i4>
      </vt:variant>
    </vt:vector>
  </HeadingPairs>
  <TitlesOfParts>
    <vt:vector size="7" baseType="lpstr">
      <vt:lpstr>Export Summary</vt:lpstr>
      <vt:lpstr>Proposed Budget</vt:lpstr>
      <vt:lpstr>Forecast on Yearly Trend</vt:lpstr>
      <vt:lpstr>Calculators</vt:lpstr>
      <vt:lpstr>Hours</vt:lpstr>
      <vt:lpstr>Instructions</vt:lpstr>
      <vt:lpstr>Change notes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Pamela Tan</dc:creator>
  <cp:lastModifiedBy>Doug Pascover</cp:lastModifiedBy>
  <dcterms:created xsi:type="dcterms:W3CDTF">2023-01-10T03:13:53Z</dcterms:created>
  <dcterms:modified xsi:type="dcterms:W3CDTF">2025-02-25T00:31:08Z</dcterms:modified>
</cp:coreProperties>
</file>