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aimejohnson/Downloads/"/>
    </mc:Choice>
  </mc:AlternateContent>
  <xr:revisionPtr revIDLastSave="0" documentId="13_ncr:1_{B0F63879-88A6-4949-8011-5F5B332A8EA0}" xr6:coauthVersionLast="28" xr6:coauthVersionMax="28" xr10:uidLastSave="{00000000-0000-0000-0000-000000000000}"/>
  <bookViews>
    <workbookView xWindow="240" yWindow="460" windowWidth="20120" windowHeight="7760" activeTab="6" xr2:uid="{00000000-000D-0000-FFFF-FFFF00000000}"/>
  </bookViews>
  <sheets>
    <sheet name="NorthPlainfield_1" sheetId="31" r:id="rId1"/>
    <sheet name="SouthPlainfield_1" sheetId="6" r:id="rId2"/>
    <sheet name="Riders_Chart2" sheetId="7" state="hidden" r:id="rId3"/>
    <sheet name="Whitestown_1" sheetId="30" r:id="rId4"/>
    <sheet name="AllRoutes_Chart_1" sheetId="35" r:id="rId5"/>
    <sheet name="AllRoutes_Chart_2" sheetId="34" r:id="rId6"/>
    <sheet name="Ridership" sheetId="1" r:id="rId7"/>
    <sheet name="Finances" sheetId="8" state="hidden" r:id="rId8"/>
    <sheet name="Opt1subsidies" sheetId="2" state="hidden" r:id="rId9"/>
    <sheet name="Opt2Costs" sheetId="11" state="hidden" r:id="rId10"/>
    <sheet name="Opt2_5" sheetId="17" state="hidden" r:id="rId11"/>
    <sheet name="Opt3EID" sheetId="12" state="hidden" r:id="rId12"/>
    <sheet name="TODRiders_Cht" sheetId="9" state="hidden" r:id="rId13"/>
    <sheet name="TODRiders" sheetId="3" state="hidden" r:id="rId14"/>
    <sheet name="Opt1subsidies_V2" sheetId="22" state="hidden" r:id="rId15"/>
    <sheet name="Finances_Qtr" sheetId="10" state="hidden" r:id="rId16"/>
    <sheet name="Opt1_Qtr" sheetId="13" state="hidden" r:id="rId17"/>
    <sheet name="Opt1_Qtr_v2" sheetId="23" state="hidden" r:id="rId18"/>
    <sheet name="Opt2_Qtr" sheetId="14" state="hidden" r:id="rId19"/>
    <sheet name="Opt2_5_Qtr" sheetId="16" state="hidden" r:id="rId20"/>
    <sheet name="Opt3_Qtr" sheetId="15" state="hidden" r:id="rId21"/>
    <sheet name="Opt1subsidies IndyVersion" sheetId="21" state="hidden" r:id="rId22"/>
    <sheet name="Opt1_Qtr IndyVersion" sheetId="20" state="hidden" r:id="rId23"/>
    <sheet name="Demonstration" sheetId="18" state="hidden" r:id="rId24"/>
    <sheet name="All_Routes existing" sheetId="26" state="hidden" r:id="rId25"/>
    <sheet name="All_Routes_new" sheetId="25" state="hidden" r:id="rId26"/>
    <sheet name="All_Routes_Saturday" sheetId="28" state="hidden" r:id="rId27"/>
  </sheets>
  <definedNames>
    <definedName name="_xlnm.Print_Area" localSheetId="24">'All_Routes existing'!$A$1:$W$58</definedName>
    <definedName name="_xlnm.Print_Area" localSheetId="25">All_Routes_new!$A$1:$W$58</definedName>
    <definedName name="_xlnm.Print_Area" localSheetId="26">All_Routes_Saturday!$A$1:$W$58</definedName>
    <definedName name="_xlnm.Print_Area" localSheetId="22">'Opt1_Qtr IndyVersion'!$A$1:$K$23</definedName>
  </definedNames>
  <calcPr calcId="171027" concurrentCalc="0"/>
</workbook>
</file>

<file path=xl/calcChain.xml><?xml version="1.0" encoding="utf-8"?>
<calcChain xmlns="http://schemas.openxmlformats.org/spreadsheetml/2006/main">
  <c r="H67" i="1" l="1"/>
  <c r="I67" i="1"/>
  <c r="J67" i="1"/>
  <c r="H56" i="1"/>
  <c r="H57" i="1"/>
  <c r="H58" i="1"/>
  <c r="H59" i="1"/>
  <c r="H60" i="1"/>
  <c r="H61" i="1"/>
  <c r="H62" i="1"/>
  <c r="H63" i="1"/>
  <c r="H64" i="1"/>
  <c r="H65" i="1"/>
  <c r="H66" i="1"/>
  <c r="L67" i="1"/>
  <c r="M67" i="1"/>
  <c r="I56" i="1"/>
  <c r="J56" i="1"/>
  <c r="M56" i="1"/>
  <c r="I57" i="1"/>
  <c r="J57" i="1"/>
  <c r="M57" i="1"/>
  <c r="I58" i="1"/>
  <c r="J58" i="1"/>
  <c r="M58" i="1"/>
  <c r="I59" i="1"/>
  <c r="J59" i="1"/>
  <c r="M59" i="1"/>
  <c r="I60" i="1"/>
  <c r="J60" i="1"/>
  <c r="M60" i="1"/>
  <c r="I61" i="1"/>
  <c r="J61" i="1"/>
  <c r="M61" i="1"/>
  <c r="I62" i="1"/>
  <c r="J62" i="1"/>
  <c r="M62" i="1"/>
  <c r="I63" i="1"/>
  <c r="J63" i="1"/>
  <c r="M63" i="1"/>
  <c r="I64" i="1"/>
  <c r="J64" i="1"/>
  <c r="M64" i="1"/>
  <c r="I65" i="1"/>
  <c r="J65" i="1"/>
  <c r="M65" i="1"/>
  <c r="I66" i="1"/>
  <c r="J66" i="1"/>
  <c r="M66" i="1"/>
  <c r="K67" i="1"/>
  <c r="N67" i="1"/>
  <c r="O67" i="1"/>
  <c r="I38" i="1"/>
  <c r="I39" i="1"/>
  <c r="I40" i="1"/>
  <c r="I41" i="1"/>
  <c r="H38" i="1"/>
  <c r="H39" i="1"/>
  <c r="H40" i="1"/>
  <c r="H41" i="1"/>
  <c r="I47" i="1"/>
  <c r="I48" i="1"/>
  <c r="I49" i="1"/>
  <c r="I50" i="1"/>
  <c r="I51" i="1"/>
  <c r="I52" i="1"/>
  <c r="I53" i="1"/>
  <c r="H43" i="1"/>
  <c r="H48" i="1"/>
  <c r="H49" i="1"/>
  <c r="H50" i="1"/>
  <c r="H51" i="1"/>
  <c r="H52" i="1"/>
  <c r="H53" i="1"/>
  <c r="I54" i="1"/>
  <c r="I55" i="1"/>
  <c r="H54" i="1"/>
  <c r="H55" i="1"/>
  <c r="L66" i="1"/>
  <c r="L65" i="1"/>
  <c r="J55" i="1"/>
  <c r="M55" i="1"/>
  <c r="K66" i="1"/>
  <c r="L64" i="1"/>
  <c r="L63" i="1"/>
  <c r="L54" i="1"/>
  <c r="L55" i="1"/>
  <c r="L56" i="1"/>
  <c r="L57" i="1"/>
  <c r="L58" i="1"/>
  <c r="L59" i="1"/>
  <c r="L60" i="1"/>
  <c r="L61" i="1"/>
  <c r="L62" i="1"/>
  <c r="K16" i="1"/>
  <c r="K15" i="1"/>
  <c r="K14" i="1"/>
  <c r="K13" i="1"/>
  <c r="K12" i="1"/>
  <c r="K11" i="1"/>
  <c r="K10" i="1"/>
  <c r="K9" i="1"/>
  <c r="K8" i="1"/>
  <c r="K7" i="1"/>
  <c r="K6" i="1"/>
  <c r="J54" i="1"/>
  <c r="M45" i="1"/>
  <c r="M46" i="1"/>
  <c r="M54" i="1"/>
  <c r="K65" i="1"/>
  <c r="J53" i="1"/>
  <c r="M53" i="1"/>
  <c r="K64" i="1"/>
  <c r="J52" i="1"/>
  <c r="M52" i="1"/>
  <c r="K63" i="1"/>
  <c r="J51" i="1"/>
  <c r="M51" i="1"/>
  <c r="K62" i="1"/>
  <c r="J50" i="1"/>
  <c r="M50" i="1"/>
  <c r="K61" i="1"/>
  <c r="J49" i="1"/>
  <c r="M49" i="1"/>
  <c r="K60" i="1"/>
  <c r="J48" i="1"/>
  <c r="M48" i="1"/>
  <c r="K59" i="1"/>
  <c r="J47" i="1"/>
  <c r="M47" i="1"/>
  <c r="K58" i="1"/>
  <c r="K57" i="1"/>
  <c r="K56" i="1"/>
  <c r="M43" i="1"/>
  <c r="M35" i="1"/>
  <c r="M36" i="1"/>
  <c r="J37" i="1"/>
  <c r="M37" i="1"/>
  <c r="J38" i="1"/>
  <c r="J39" i="1"/>
  <c r="J40" i="1"/>
  <c r="J41" i="1"/>
  <c r="M42" i="1"/>
  <c r="J44" i="1"/>
  <c r="M44" i="1"/>
  <c r="K5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M34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6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N28" i="1"/>
  <c r="N29" i="1"/>
  <c r="N30" i="1"/>
  <c r="N31" i="1"/>
  <c r="N32" i="1"/>
  <c r="N33" i="1"/>
  <c r="N34" i="1"/>
  <c r="N35" i="1"/>
  <c r="N36" i="1"/>
  <c r="N37" i="1"/>
  <c r="N38" i="1"/>
  <c r="N39" i="1"/>
  <c r="N16" i="1"/>
  <c r="N17" i="1"/>
  <c r="N18" i="1"/>
  <c r="N19" i="1"/>
  <c r="N20" i="1"/>
  <c r="N21" i="1"/>
  <c r="N22" i="1"/>
  <c r="N23" i="1"/>
  <c r="N24" i="1"/>
  <c r="N25" i="1"/>
  <c r="N26" i="1"/>
  <c r="N27" i="1"/>
  <c r="N40" i="1"/>
  <c r="N41" i="1"/>
  <c r="N42" i="1"/>
  <c r="D26" i="1"/>
  <c r="D27" i="1"/>
  <c r="D28" i="1"/>
  <c r="D29" i="1"/>
  <c r="D30" i="1"/>
  <c r="D25" i="1"/>
  <c r="F49" i="28"/>
  <c r="F43" i="28"/>
  <c r="F42" i="28"/>
  <c r="F45" i="28"/>
  <c r="F51" i="28"/>
  <c r="F55" i="28"/>
  <c r="G43" i="28"/>
  <c r="G45" i="28"/>
  <c r="G51" i="28"/>
  <c r="H45" i="28"/>
  <c r="H51" i="28"/>
  <c r="I45" i="28"/>
  <c r="I51" i="28"/>
  <c r="J45" i="28"/>
  <c r="J51" i="28"/>
  <c r="K45" i="28"/>
  <c r="K51" i="28"/>
  <c r="L45" i="28"/>
  <c r="L51" i="28"/>
  <c r="M45" i="28"/>
  <c r="M51" i="28"/>
  <c r="N45" i="28"/>
  <c r="N51" i="28"/>
  <c r="O45" i="28"/>
  <c r="O51" i="28"/>
  <c r="P45" i="28"/>
  <c r="P51" i="28"/>
  <c r="Q45" i="28"/>
  <c r="Q51" i="28"/>
  <c r="R45" i="28"/>
  <c r="R51" i="28"/>
  <c r="S45" i="28"/>
  <c r="S51" i="28"/>
  <c r="T45" i="28"/>
  <c r="T51" i="28"/>
  <c r="U45" i="28"/>
  <c r="U51" i="28"/>
  <c r="V45" i="28"/>
  <c r="V51" i="28"/>
  <c r="W45" i="28"/>
  <c r="W51" i="28"/>
  <c r="W33" i="28"/>
  <c r="E37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V33" i="28"/>
  <c r="E38" i="28"/>
  <c r="W29" i="28"/>
  <c r="W35" i="28"/>
  <c r="U29" i="28"/>
  <c r="U35" i="28"/>
  <c r="S29" i="28"/>
  <c r="S35" i="28"/>
  <c r="Q29" i="28"/>
  <c r="Q35" i="28"/>
  <c r="O29" i="28"/>
  <c r="O35" i="28"/>
  <c r="M29" i="28"/>
  <c r="M35" i="28"/>
  <c r="K29" i="28"/>
  <c r="K35" i="28"/>
  <c r="I29" i="28"/>
  <c r="I35" i="28"/>
  <c r="H35" i="28"/>
  <c r="G29" i="28"/>
  <c r="G35" i="28"/>
  <c r="F29" i="28"/>
  <c r="F6" i="28"/>
  <c r="F7" i="28"/>
  <c r="F10" i="28"/>
  <c r="F14" i="28"/>
  <c r="F19" i="28"/>
  <c r="F23" i="28"/>
  <c r="G6" i="28"/>
  <c r="G7" i="28"/>
  <c r="G14" i="28"/>
  <c r="G19" i="28"/>
  <c r="F21" i="28"/>
  <c r="G21" i="28"/>
  <c r="H6" i="28"/>
  <c r="H14" i="28"/>
  <c r="H19" i="28"/>
  <c r="I14" i="28"/>
  <c r="I19" i="28"/>
  <c r="J10" i="28"/>
  <c r="J14" i="28"/>
  <c r="J19" i="28"/>
  <c r="K14" i="28"/>
  <c r="K17" i="28"/>
  <c r="K19" i="28"/>
  <c r="L3" i="28"/>
  <c r="L17" i="28"/>
  <c r="L19" i="28"/>
  <c r="L11" i="28"/>
  <c r="L14" i="28"/>
  <c r="M3" i="28"/>
  <c r="M17" i="28"/>
  <c r="M11" i="28"/>
  <c r="M14" i="28"/>
  <c r="N10" i="28"/>
  <c r="N3" i="28"/>
  <c r="N17" i="28"/>
  <c r="O3" i="28"/>
  <c r="O17" i="28"/>
  <c r="P3" i="28"/>
  <c r="P17" i="28"/>
  <c r="P19" i="28"/>
  <c r="Q3" i="28"/>
  <c r="Q17" i="28"/>
  <c r="R10" i="28"/>
  <c r="R3" i="28"/>
  <c r="R17" i="28"/>
  <c r="R19" i="28"/>
  <c r="S3" i="28"/>
  <c r="S17" i="28"/>
  <c r="S19" i="28"/>
  <c r="S11" i="28"/>
  <c r="S14" i="28"/>
  <c r="T3" i="28"/>
  <c r="T17" i="28"/>
  <c r="U3" i="28"/>
  <c r="U17" i="28"/>
  <c r="U19" i="28"/>
  <c r="U11" i="28"/>
  <c r="U14" i="28"/>
  <c r="V10" i="28"/>
  <c r="V3" i="28"/>
  <c r="V17" i="28"/>
  <c r="V11" i="28"/>
  <c r="V14" i="28"/>
  <c r="V19" i="28"/>
  <c r="W3" i="28"/>
  <c r="W17" i="28"/>
  <c r="W19" i="28"/>
  <c r="E58" i="28"/>
  <c r="D58" i="28"/>
  <c r="G22" i="28"/>
  <c r="E19" i="28"/>
  <c r="D19" i="28"/>
  <c r="E14" i="28"/>
  <c r="D14" i="28"/>
  <c r="F10" i="25"/>
  <c r="V10" i="25"/>
  <c r="R10" i="25"/>
  <c r="N10" i="25"/>
  <c r="N3" i="25"/>
  <c r="N17" i="25"/>
  <c r="N11" i="25"/>
  <c r="N14" i="25"/>
  <c r="J10" i="25"/>
  <c r="G7" i="25"/>
  <c r="G22" i="25"/>
  <c r="G6" i="25"/>
  <c r="F7" i="25"/>
  <c r="F6" i="25"/>
  <c r="F21" i="25"/>
  <c r="G21" i="25"/>
  <c r="H6" i="25"/>
  <c r="H14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8" i="25"/>
  <c r="F27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F43" i="25"/>
  <c r="H11" i="20"/>
  <c r="AB6" i="21"/>
  <c r="S6" i="21"/>
  <c r="T6" i="21"/>
  <c r="U6" i="21"/>
  <c r="V6" i="21"/>
  <c r="W6" i="21"/>
  <c r="X6" i="21"/>
  <c r="Y6" i="21"/>
  <c r="Z6" i="21"/>
  <c r="AA6" i="21"/>
  <c r="R6" i="21"/>
  <c r="Q6" i="21"/>
  <c r="H35" i="25"/>
  <c r="K33" i="26"/>
  <c r="K29" i="26"/>
  <c r="J33" i="26"/>
  <c r="I33" i="26"/>
  <c r="H33" i="26"/>
  <c r="G33" i="26"/>
  <c r="F33" i="26"/>
  <c r="E58" i="26"/>
  <c r="D58" i="26"/>
  <c r="F56" i="26"/>
  <c r="G56" i="26"/>
  <c r="K49" i="26"/>
  <c r="K51" i="26"/>
  <c r="J49" i="26"/>
  <c r="J45" i="26"/>
  <c r="I49" i="26"/>
  <c r="I51" i="26"/>
  <c r="H49" i="26"/>
  <c r="H51" i="26"/>
  <c r="G49" i="26"/>
  <c r="G51" i="26"/>
  <c r="F49" i="26"/>
  <c r="F45" i="26"/>
  <c r="F43" i="26"/>
  <c r="F55" i="26"/>
  <c r="G45" i="26"/>
  <c r="G43" i="26"/>
  <c r="K45" i="26"/>
  <c r="I45" i="26"/>
  <c r="E38" i="26"/>
  <c r="E37" i="26"/>
  <c r="J35" i="26"/>
  <c r="I35" i="26"/>
  <c r="H35" i="26"/>
  <c r="G35" i="26"/>
  <c r="F35" i="26"/>
  <c r="J29" i="26"/>
  <c r="I29" i="26"/>
  <c r="H29" i="26"/>
  <c r="G29" i="26"/>
  <c r="F29" i="26"/>
  <c r="F27" i="26"/>
  <c r="F38" i="26"/>
  <c r="F26" i="26"/>
  <c r="F31" i="26"/>
  <c r="F39" i="26"/>
  <c r="J19" i="26"/>
  <c r="I19" i="26"/>
  <c r="H19" i="26"/>
  <c r="G19" i="26"/>
  <c r="F19" i="26"/>
  <c r="E19" i="26"/>
  <c r="D19" i="26"/>
  <c r="K17" i="26"/>
  <c r="K19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F23" i="26"/>
  <c r="G23" i="26"/>
  <c r="H23" i="26"/>
  <c r="I23" i="26"/>
  <c r="J23" i="26"/>
  <c r="E14" i="26"/>
  <c r="D14" i="26"/>
  <c r="W3" i="26"/>
  <c r="W33" i="26"/>
  <c r="W17" i="26"/>
  <c r="W19" i="26"/>
  <c r="V3" i="26"/>
  <c r="V33" i="26"/>
  <c r="V35" i="26"/>
  <c r="U3" i="26"/>
  <c r="U33" i="26"/>
  <c r="T3" i="26"/>
  <c r="T33" i="26"/>
  <c r="S3" i="26"/>
  <c r="S33" i="26"/>
  <c r="S17" i="26"/>
  <c r="S19" i="26"/>
  <c r="R3" i="26"/>
  <c r="R33" i="26"/>
  <c r="Q3" i="26"/>
  <c r="Q33" i="26"/>
  <c r="P3" i="26"/>
  <c r="P33" i="26"/>
  <c r="O3" i="26"/>
  <c r="O33" i="26"/>
  <c r="O35" i="26"/>
  <c r="O17" i="26"/>
  <c r="O19" i="26"/>
  <c r="N3" i="26"/>
  <c r="N33" i="26"/>
  <c r="M3" i="26"/>
  <c r="M33" i="26"/>
  <c r="L3" i="26"/>
  <c r="L33" i="26"/>
  <c r="L29" i="26"/>
  <c r="E58" i="25"/>
  <c r="D58" i="25"/>
  <c r="V35" i="25"/>
  <c r="V51" i="25"/>
  <c r="W3" i="25"/>
  <c r="W35" i="25"/>
  <c r="V3" i="25"/>
  <c r="V17" i="25"/>
  <c r="V19" i="25"/>
  <c r="U3" i="25"/>
  <c r="U17" i="25"/>
  <c r="U19" i="25"/>
  <c r="T3" i="25"/>
  <c r="T17" i="25"/>
  <c r="T11" i="25"/>
  <c r="T14" i="25"/>
  <c r="T19" i="25"/>
  <c r="G51" i="25"/>
  <c r="H45" i="25"/>
  <c r="I45" i="25"/>
  <c r="J45" i="25"/>
  <c r="K51" i="25"/>
  <c r="F45" i="25"/>
  <c r="I51" i="25"/>
  <c r="E37" i="25"/>
  <c r="J29" i="25"/>
  <c r="K29" i="25"/>
  <c r="J35" i="25"/>
  <c r="K35" i="25"/>
  <c r="K17" i="25"/>
  <c r="K19" i="25"/>
  <c r="S3" i="25"/>
  <c r="R3" i="25"/>
  <c r="Q3" i="25"/>
  <c r="Q51" i="25"/>
  <c r="P3" i="25"/>
  <c r="P45" i="25"/>
  <c r="O3" i="25"/>
  <c r="M3" i="25"/>
  <c r="L3" i="25"/>
  <c r="L17" i="25"/>
  <c r="G29" i="25"/>
  <c r="I29" i="25"/>
  <c r="F29" i="25"/>
  <c r="E19" i="25"/>
  <c r="F19" i="25"/>
  <c r="G19" i="25"/>
  <c r="H19" i="25"/>
  <c r="I19" i="25"/>
  <c r="J19" i="25"/>
  <c r="D19" i="25"/>
  <c r="E14" i="25"/>
  <c r="G14" i="25"/>
  <c r="I14" i="25"/>
  <c r="J14" i="25"/>
  <c r="K14" i="25"/>
  <c r="D14" i="25"/>
  <c r="D22" i="23"/>
  <c r="D21" i="23"/>
  <c r="G19" i="23"/>
  <c r="F19" i="23"/>
  <c r="E19" i="23"/>
  <c r="D19" i="23"/>
  <c r="K16" i="23"/>
  <c r="J16" i="23"/>
  <c r="I16" i="23"/>
  <c r="H16" i="23"/>
  <c r="G16" i="23"/>
  <c r="F16" i="23"/>
  <c r="E16" i="23"/>
  <c r="D16" i="23"/>
  <c r="K15" i="23"/>
  <c r="J15" i="23"/>
  <c r="I15" i="23"/>
  <c r="H15" i="23"/>
  <c r="G15" i="23"/>
  <c r="F15" i="23"/>
  <c r="E15" i="23"/>
  <c r="D15" i="23"/>
  <c r="T13" i="22"/>
  <c r="U13" i="22"/>
  <c r="V13" i="22"/>
  <c r="I14" i="23"/>
  <c r="H11" i="23"/>
  <c r="H10" i="23"/>
  <c r="Z13" i="22"/>
  <c r="Z7" i="22"/>
  <c r="AA13" i="22"/>
  <c r="AA7" i="22"/>
  <c r="AB13" i="22"/>
  <c r="AB7" i="22"/>
  <c r="K8" i="23"/>
  <c r="E8" i="23"/>
  <c r="D8" i="23"/>
  <c r="Z6" i="22"/>
  <c r="AA6" i="22"/>
  <c r="AB6" i="22"/>
  <c r="K7" i="23"/>
  <c r="K6" i="23"/>
  <c r="J6" i="23"/>
  <c r="I6" i="23"/>
  <c r="H6" i="23"/>
  <c r="K5" i="23"/>
  <c r="J5" i="23"/>
  <c r="I5" i="23"/>
  <c r="K4" i="23"/>
  <c r="J4" i="23"/>
  <c r="I4" i="23"/>
  <c r="H4" i="23"/>
  <c r="G4" i="23"/>
  <c r="F4" i="23"/>
  <c r="E4" i="23"/>
  <c r="D4" i="23"/>
  <c r="Q6" i="22"/>
  <c r="R6" i="22"/>
  <c r="S6" i="22"/>
  <c r="H7" i="23"/>
  <c r="T6" i="22"/>
  <c r="U6" i="22"/>
  <c r="V6" i="22"/>
  <c r="I7" i="23"/>
  <c r="W6" i="22"/>
  <c r="X6" i="22"/>
  <c r="Y6" i="22"/>
  <c r="E22" i="23"/>
  <c r="J21" i="22"/>
  <c r="K14" i="23"/>
  <c r="Y13" i="22"/>
  <c r="Y7" i="22"/>
  <c r="X13" i="22"/>
  <c r="W13" i="22"/>
  <c r="T7" i="22"/>
  <c r="U7" i="22"/>
  <c r="V7" i="22"/>
  <c r="I8" i="23"/>
  <c r="S13" i="22"/>
  <c r="S7" i="22"/>
  <c r="R13" i="22"/>
  <c r="Q13" i="22"/>
  <c r="P13" i="22"/>
  <c r="P7" i="22"/>
  <c r="P4" i="22"/>
  <c r="O13" i="22"/>
  <c r="O7" i="22"/>
  <c r="N13" i="22"/>
  <c r="M13" i="22"/>
  <c r="L13" i="22"/>
  <c r="K13" i="22"/>
  <c r="J13" i="22"/>
  <c r="I13" i="22"/>
  <c r="I4" i="22"/>
  <c r="H13" i="22"/>
  <c r="H4" i="22"/>
  <c r="J4" i="22"/>
  <c r="E5" i="23"/>
  <c r="G13" i="22"/>
  <c r="G5" i="22"/>
  <c r="F13" i="22"/>
  <c r="E13" i="22"/>
  <c r="D14" i="23"/>
  <c r="D13" i="22"/>
  <c r="X7" i="22"/>
  <c r="R7" i="22"/>
  <c r="N7" i="22"/>
  <c r="G8" i="23"/>
  <c r="M7" i="22"/>
  <c r="P5" i="22"/>
  <c r="J5" i="22"/>
  <c r="I5" i="22"/>
  <c r="H5" i="22"/>
  <c r="E6" i="23"/>
  <c r="F5" i="22"/>
  <c r="D6" i="23"/>
  <c r="N4" i="22"/>
  <c r="G4" i="22"/>
  <c r="F4" i="22"/>
  <c r="D5" i="23"/>
  <c r="K35" i="26"/>
  <c r="G55" i="26"/>
  <c r="F42" i="26"/>
  <c r="F54" i="26"/>
  <c r="G42" i="26"/>
  <c r="G47" i="26"/>
  <c r="L49" i="26"/>
  <c r="P49" i="26"/>
  <c r="T49" i="26"/>
  <c r="M49" i="26"/>
  <c r="M45" i="26"/>
  <c r="Q49" i="26"/>
  <c r="U49" i="26"/>
  <c r="F37" i="26"/>
  <c r="N49" i="26"/>
  <c r="N51" i="26"/>
  <c r="R49" i="26"/>
  <c r="V49" i="26"/>
  <c r="M17" i="26"/>
  <c r="M19" i="26"/>
  <c r="Q17" i="26"/>
  <c r="Q19" i="26"/>
  <c r="U17" i="26"/>
  <c r="U19" i="26"/>
  <c r="G27" i="26"/>
  <c r="G38" i="26"/>
  <c r="O49" i="26"/>
  <c r="S49" i="26"/>
  <c r="S51" i="26"/>
  <c r="W49" i="26"/>
  <c r="N17" i="26"/>
  <c r="N19" i="26"/>
  <c r="R17" i="26"/>
  <c r="R19" i="26"/>
  <c r="V17" i="26"/>
  <c r="V19" i="26"/>
  <c r="F58" i="26"/>
  <c r="W17" i="25"/>
  <c r="W11" i="25"/>
  <c r="W14" i="25"/>
  <c r="W19" i="25"/>
  <c r="H29" i="25"/>
  <c r="S17" i="25"/>
  <c r="U51" i="25"/>
  <c r="U35" i="25"/>
  <c r="R17" i="25"/>
  <c r="R19" i="25"/>
  <c r="T29" i="25"/>
  <c r="W51" i="25"/>
  <c r="W45" i="25"/>
  <c r="W29" i="25"/>
  <c r="V45" i="25"/>
  <c r="V29" i="25"/>
  <c r="U45" i="25"/>
  <c r="T45" i="25"/>
  <c r="K45" i="25"/>
  <c r="I35" i="25"/>
  <c r="G45" i="25"/>
  <c r="J51" i="25"/>
  <c r="N19" i="25"/>
  <c r="G35" i="25"/>
  <c r="M45" i="25"/>
  <c r="M51" i="25"/>
  <c r="N29" i="25"/>
  <c r="N35" i="25"/>
  <c r="R45" i="25"/>
  <c r="R51" i="25"/>
  <c r="O45" i="25"/>
  <c r="O51" i="25"/>
  <c r="S45" i="25"/>
  <c r="S51" i="25"/>
  <c r="L35" i="25"/>
  <c r="F38" i="25"/>
  <c r="Q17" i="25"/>
  <c r="M17" i="25"/>
  <c r="M11" i="25"/>
  <c r="M14" i="25"/>
  <c r="M19" i="25"/>
  <c r="P17" i="25"/>
  <c r="O17" i="25"/>
  <c r="O11" i="25"/>
  <c r="O14" i="25"/>
  <c r="F35" i="25"/>
  <c r="S29" i="25"/>
  <c r="Q45" i="25"/>
  <c r="F51" i="25"/>
  <c r="F55" i="25"/>
  <c r="H51" i="25"/>
  <c r="P51" i="25"/>
  <c r="S35" i="25"/>
  <c r="R35" i="25"/>
  <c r="R29" i="25"/>
  <c r="H22" i="23"/>
  <c r="I22" i="23"/>
  <c r="J22" i="23"/>
  <c r="K22" i="23"/>
  <c r="F47" i="26"/>
  <c r="S45" i="26"/>
  <c r="N29" i="26"/>
  <c r="N35" i="26"/>
  <c r="G26" i="26"/>
  <c r="Q51" i="26"/>
  <c r="Q45" i="26"/>
  <c r="P51" i="26"/>
  <c r="P45" i="26"/>
  <c r="G54" i="26"/>
  <c r="W29" i="26"/>
  <c r="W35" i="26"/>
  <c r="V45" i="26"/>
  <c r="V51" i="26"/>
  <c r="N45" i="26"/>
  <c r="U35" i="26"/>
  <c r="U29" i="26"/>
  <c r="M35" i="26"/>
  <c r="M29" i="26"/>
  <c r="T35" i="26"/>
  <c r="T29" i="26"/>
  <c r="L35" i="26"/>
  <c r="W45" i="26"/>
  <c r="W51" i="26"/>
  <c r="O45" i="26"/>
  <c r="O51" i="26"/>
  <c r="R29" i="26"/>
  <c r="R35" i="26"/>
  <c r="U51" i="26"/>
  <c r="U45" i="26"/>
  <c r="M51" i="26"/>
  <c r="T51" i="26"/>
  <c r="T45" i="26"/>
  <c r="L51" i="26"/>
  <c r="L45" i="26"/>
  <c r="S29" i="26"/>
  <c r="S35" i="26"/>
  <c r="R45" i="26"/>
  <c r="R51" i="26"/>
  <c r="Q35" i="26"/>
  <c r="Q29" i="26"/>
  <c r="P35" i="26"/>
  <c r="P29" i="26"/>
  <c r="U29" i="25"/>
  <c r="T35" i="25"/>
  <c r="T51" i="25"/>
  <c r="Q35" i="25"/>
  <c r="Q29" i="25"/>
  <c r="L29" i="25"/>
  <c r="M29" i="25"/>
  <c r="M35" i="25"/>
  <c r="O35" i="25"/>
  <c r="O29" i="25"/>
  <c r="P29" i="25"/>
  <c r="P35" i="25"/>
  <c r="L51" i="25"/>
  <c r="L45" i="25"/>
  <c r="N51" i="25"/>
  <c r="N45" i="25"/>
  <c r="Q21" i="22"/>
  <c r="R5" i="21"/>
  <c r="H6" i="20"/>
  <c r="G19" i="20"/>
  <c r="F19" i="20"/>
  <c r="E19" i="20"/>
  <c r="D19" i="20"/>
  <c r="D22" i="20"/>
  <c r="D21" i="20"/>
  <c r="K7" i="20"/>
  <c r="J7" i="20"/>
  <c r="I7" i="20"/>
  <c r="H7" i="20"/>
  <c r="K16" i="20"/>
  <c r="J16" i="20"/>
  <c r="I16" i="20"/>
  <c r="H16" i="20"/>
  <c r="G16" i="20"/>
  <c r="F16" i="20"/>
  <c r="E16" i="20"/>
  <c r="D16" i="20"/>
  <c r="K15" i="20"/>
  <c r="J15" i="20"/>
  <c r="I15" i="20"/>
  <c r="H15" i="20"/>
  <c r="G15" i="20"/>
  <c r="F15" i="20"/>
  <c r="E15" i="20"/>
  <c r="D15" i="20"/>
  <c r="E8" i="20"/>
  <c r="D8" i="20"/>
  <c r="K6" i="20"/>
  <c r="J6" i="20"/>
  <c r="I6" i="20"/>
  <c r="K5" i="20"/>
  <c r="J5" i="20"/>
  <c r="I5" i="20"/>
  <c r="K4" i="20"/>
  <c r="J4" i="20"/>
  <c r="I4" i="20"/>
  <c r="H4" i="20"/>
  <c r="G4" i="20"/>
  <c r="F4" i="20"/>
  <c r="E4" i="20"/>
  <c r="D4" i="20"/>
  <c r="J21" i="21"/>
  <c r="AB13" i="21"/>
  <c r="AB7" i="21"/>
  <c r="AA13" i="21"/>
  <c r="AA7" i="21"/>
  <c r="Z13" i="21"/>
  <c r="Y13" i="21"/>
  <c r="Y7" i="21"/>
  <c r="X13" i="21"/>
  <c r="X7" i="21"/>
  <c r="W13" i="21"/>
  <c r="V13" i="21"/>
  <c r="U13" i="21"/>
  <c r="U7" i="21"/>
  <c r="T13" i="21"/>
  <c r="S13" i="21"/>
  <c r="R13" i="21"/>
  <c r="Q13" i="21"/>
  <c r="P13" i="21"/>
  <c r="O13" i="21"/>
  <c r="O7" i="21"/>
  <c r="N13" i="21"/>
  <c r="G14" i="20"/>
  <c r="M13" i="21"/>
  <c r="M7" i="21"/>
  <c r="M4" i="21"/>
  <c r="L13" i="21"/>
  <c r="K13" i="21"/>
  <c r="J13" i="21"/>
  <c r="J5" i="21"/>
  <c r="I13" i="21"/>
  <c r="H13" i="21"/>
  <c r="E14" i="20"/>
  <c r="G13" i="21"/>
  <c r="F13" i="21"/>
  <c r="E13" i="21"/>
  <c r="D14" i="20"/>
  <c r="D13" i="21"/>
  <c r="V7" i="21"/>
  <c r="T7" i="21"/>
  <c r="S7" i="21"/>
  <c r="R7" i="21"/>
  <c r="P7" i="21"/>
  <c r="N7" i="21"/>
  <c r="G8" i="20"/>
  <c r="O5" i="21"/>
  <c r="L7" i="21"/>
  <c r="L5" i="21"/>
  <c r="N5" i="21"/>
  <c r="G5" i="21"/>
  <c r="F5" i="21"/>
  <c r="D6" i="20"/>
  <c r="N4" i="21"/>
  <c r="L4" i="21"/>
  <c r="I4" i="21"/>
  <c r="G4" i="21"/>
  <c r="F4" i="21"/>
  <c r="E22" i="20"/>
  <c r="H10" i="20"/>
  <c r="G37" i="26"/>
  <c r="R21" i="22"/>
  <c r="S21" i="22"/>
  <c r="T21" i="22"/>
  <c r="U21" i="22"/>
  <c r="V21" i="22"/>
  <c r="W21" i="22"/>
  <c r="X21" i="22"/>
  <c r="Y21" i="22"/>
  <c r="Z21" i="22"/>
  <c r="AA21" i="22"/>
  <c r="AB21" i="22"/>
  <c r="I14" i="20"/>
  <c r="O4" i="21"/>
  <c r="I5" i="21"/>
  <c r="E23" i="20"/>
  <c r="R21" i="21"/>
  <c r="S21" i="21"/>
  <c r="T21" i="21"/>
  <c r="U21" i="21"/>
  <c r="V21" i="21"/>
  <c r="W21" i="21"/>
  <c r="X21" i="21"/>
  <c r="Y21" i="21"/>
  <c r="Z21" i="21"/>
  <c r="AA21" i="21"/>
  <c r="AB21" i="21"/>
  <c r="H7" i="16"/>
  <c r="I7" i="16"/>
  <c r="J7" i="16"/>
  <c r="K7" i="16"/>
  <c r="H7" i="13"/>
  <c r="I7" i="13"/>
  <c r="J7" i="13"/>
  <c r="K7" i="13"/>
  <c r="D39" i="18"/>
  <c r="F39" i="18"/>
  <c r="D43" i="18"/>
  <c r="F43" i="18"/>
  <c r="D47" i="18"/>
  <c r="F47" i="18"/>
  <c r="D49" i="18"/>
  <c r="F49" i="18"/>
  <c r="D48" i="18"/>
  <c r="F48" i="18"/>
  <c r="D46" i="18"/>
  <c r="F46" i="18"/>
  <c r="D45" i="18"/>
  <c r="D44" i="18"/>
  <c r="F44" i="18"/>
  <c r="D42" i="18"/>
  <c r="E42" i="18"/>
  <c r="D41" i="18"/>
  <c r="F41" i="18"/>
  <c r="D40" i="18"/>
  <c r="F40" i="18"/>
  <c r="D38" i="18"/>
  <c r="F38" i="18"/>
  <c r="H38" i="18"/>
  <c r="H39" i="18"/>
  <c r="H40" i="18"/>
  <c r="H41" i="18"/>
  <c r="D22" i="18"/>
  <c r="D23" i="18"/>
  <c r="D24" i="18"/>
  <c r="D25" i="18"/>
  <c r="E25" i="18"/>
  <c r="D26" i="18"/>
  <c r="D27" i="18"/>
  <c r="D28" i="18"/>
  <c r="D29" i="18"/>
  <c r="D30" i="18"/>
  <c r="D31" i="18"/>
  <c r="E31" i="18"/>
  <c r="D32" i="18"/>
  <c r="D21" i="18"/>
  <c r="I21" i="18"/>
  <c r="F32" i="18"/>
  <c r="F31" i="18"/>
  <c r="E30" i="18"/>
  <c r="F30" i="18"/>
  <c r="F29" i="18"/>
  <c r="F27" i="18"/>
  <c r="E27" i="18"/>
  <c r="E26" i="18"/>
  <c r="F26" i="18"/>
  <c r="E24" i="18"/>
  <c r="F24" i="18"/>
  <c r="F23" i="18"/>
  <c r="E23" i="18"/>
  <c r="F21" i="18"/>
  <c r="H21" i="18"/>
  <c r="E21" i="18"/>
  <c r="G21" i="18"/>
  <c r="D6" i="18"/>
  <c r="E6" i="18"/>
  <c r="D7" i="18"/>
  <c r="E7" i="18"/>
  <c r="D8" i="18"/>
  <c r="F8" i="18"/>
  <c r="E8" i="18"/>
  <c r="D9" i="18"/>
  <c r="D10" i="18"/>
  <c r="E10" i="18"/>
  <c r="D11" i="18"/>
  <c r="F11" i="18"/>
  <c r="E11" i="18"/>
  <c r="D12" i="18"/>
  <c r="D13" i="18"/>
  <c r="E13" i="18"/>
  <c r="F13" i="18"/>
  <c r="D14" i="18"/>
  <c r="E14" i="18"/>
  <c r="F14" i="18"/>
  <c r="D15" i="18"/>
  <c r="F15" i="18"/>
  <c r="D5" i="18"/>
  <c r="E5" i="18"/>
  <c r="D4" i="18"/>
  <c r="I4" i="18"/>
  <c r="I5" i="18"/>
  <c r="I6" i="18"/>
  <c r="I7" i="18"/>
  <c r="G25" i="15"/>
  <c r="K9" i="16"/>
  <c r="D18" i="16"/>
  <c r="E18" i="16"/>
  <c r="F18" i="16"/>
  <c r="G18" i="16"/>
  <c r="K15" i="16"/>
  <c r="J15" i="16"/>
  <c r="I15" i="16"/>
  <c r="H15" i="16"/>
  <c r="G15" i="16"/>
  <c r="F15" i="16"/>
  <c r="E15" i="16"/>
  <c r="D15" i="16"/>
  <c r="K14" i="16"/>
  <c r="J14" i="16"/>
  <c r="I14" i="16"/>
  <c r="H14" i="16"/>
  <c r="G14" i="16"/>
  <c r="F14" i="16"/>
  <c r="E14" i="16"/>
  <c r="D14" i="16"/>
  <c r="G9" i="16"/>
  <c r="F9" i="16"/>
  <c r="E9" i="16"/>
  <c r="D9" i="16"/>
  <c r="D21" i="16"/>
  <c r="D20" i="16"/>
  <c r="E8" i="16"/>
  <c r="D8" i="16"/>
  <c r="K4" i="16"/>
  <c r="J4" i="16"/>
  <c r="I4" i="16"/>
  <c r="H4" i="16"/>
  <c r="G4" i="16"/>
  <c r="F4" i="16"/>
  <c r="E4" i="16"/>
  <c r="D4" i="16"/>
  <c r="J20" i="17"/>
  <c r="AB12" i="17"/>
  <c r="AA12" i="17"/>
  <c r="AA7" i="17"/>
  <c r="Z12" i="17"/>
  <c r="K13" i="16"/>
  <c r="Y12" i="17"/>
  <c r="Y7" i="17"/>
  <c r="X12" i="17"/>
  <c r="X7" i="17"/>
  <c r="W12" i="17"/>
  <c r="V12" i="17"/>
  <c r="V7" i="17"/>
  <c r="U12" i="17"/>
  <c r="U7" i="17"/>
  <c r="T12" i="17"/>
  <c r="I13" i="16"/>
  <c r="S12" i="17"/>
  <c r="S7" i="17"/>
  <c r="R12" i="17"/>
  <c r="Q12" i="17"/>
  <c r="P12" i="17"/>
  <c r="O12" i="17"/>
  <c r="N12" i="17"/>
  <c r="M12" i="17"/>
  <c r="M7" i="17"/>
  <c r="M4" i="17"/>
  <c r="L12" i="17"/>
  <c r="K12" i="17"/>
  <c r="J12" i="17"/>
  <c r="I12" i="17"/>
  <c r="H12" i="17"/>
  <c r="G12" i="17"/>
  <c r="G5" i="17"/>
  <c r="F12" i="17"/>
  <c r="E12" i="17"/>
  <c r="D13" i="16"/>
  <c r="D12" i="17"/>
  <c r="AB7" i="17"/>
  <c r="Z7" i="17"/>
  <c r="T7" i="17"/>
  <c r="I8" i="16"/>
  <c r="R7" i="17"/>
  <c r="P7" i="17"/>
  <c r="P4" i="17"/>
  <c r="J5" i="17"/>
  <c r="H5" i="17"/>
  <c r="F5" i="17"/>
  <c r="D6" i="16"/>
  <c r="J4" i="17"/>
  <c r="H4" i="17"/>
  <c r="G4" i="17"/>
  <c r="F4" i="17"/>
  <c r="D5" i="16"/>
  <c r="E21" i="16"/>
  <c r="E22" i="16"/>
  <c r="D17" i="15"/>
  <c r="E17" i="15"/>
  <c r="F17" i="15"/>
  <c r="G17" i="15"/>
  <c r="G14" i="15"/>
  <c r="F14" i="15"/>
  <c r="E14" i="15"/>
  <c r="D14" i="15"/>
  <c r="G13" i="15"/>
  <c r="F13" i="15"/>
  <c r="E13" i="15"/>
  <c r="D13" i="15"/>
  <c r="H11" i="12"/>
  <c r="I11" i="12"/>
  <c r="J11" i="12"/>
  <c r="E12" i="15"/>
  <c r="K14" i="15"/>
  <c r="J14" i="15"/>
  <c r="I14" i="15"/>
  <c r="H14" i="15"/>
  <c r="K13" i="15"/>
  <c r="J13" i="15"/>
  <c r="I13" i="15"/>
  <c r="H13" i="15"/>
  <c r="K9" i="15"/>
  <c r="J9" i="15"/>
  <c r="I9" i="15"/>
  <c r="H9" i="15"/>
  <c r="K8" i="15"/>
  <c r="J8" i="15"/>
  <c r="I8" i="15"/>
  <c r="H8" i="15"/>
  <c r="D20" i="15"/>
  <c r="D19" i="15"/>
  <c r="E7" i="15"/>
  <c r="D7" i="15"/>
  <c r="K6" i="15"/>
  <c r="J6" i="15"/>
  <c r="I6" i="15"/>
  <c r="K5" i="15"/>
  <c r="J5" i="15"/>
  <c r="I5" i="15"/>
  <c r="K4" i="15"/>
  <c r="J4" i="15"/>
  <c r="I4" i="15"/>
  <c r="H4" i="15"/>
  <c r="G4" i="15"/>
  <c r="F4" i="15"/>
  <c r="E4" i="15"/>
  <c r="D4" i="15"/>
  <c r="E20" i="15"/>
  <c r="E21" i="15"/>
  <c r="G23" i="12"/>
  <c r="D19" i="14"/>
  <c r="D18" i="14"/>
  <c r="E16" i="14"/>
  <c r="D16" i="14"/>
  <c r="K13" i="14"/>
  <c r="J13" i="14"/>
  <c r="I13" i="14"/>
  <c r="H13" i="14"/>
  <c r="G13" i="14"/>
  <c r="F13" i="14"/>
  <c r="E13" i="14"/>
  <c r="D13" i="14"/>
  <c r="K12" i="14"/>
  <c r="J12" i="14"/>
  <c r="I12" i="14"/>
  <c r="H12" i="14"/>
  <c r="G12" i="14"/>
  <c r="F12" i="14"/>
  <c r="E12" i="14"/>
  <c r="D12" i="14"/>
  <c r="Q10" i="11"/>
  <c r="R10" i="11"/>
  <c r="S10" i="11"/>
  <c r="H11" i="14"/>
  <c r="Q6" i="11"/>
  <c r="R6" i="11"/>
  <c r="S6" i="11"/>
  <c r="H7" i="14"/>
  <c r="E7" i="14"/>
  <c r="D7" i="14"/>
  <c r="K4" i="14"/>
  <c r="J4" i="14"/>
  <c r="I4" i="14"/>
  <c r="H4" i="14"/>
  <c r="G4" i="14"/>
  <c r="F4" i="14"/>
  <c r="E4" i="14"/>
  <c r="D4" i="14"/>
  <c r="E19" i="14"/>
  <c r="E20" i="14"/>
  <c r="G16" i="13"/>
  <c r="F16" i="13"/>
  <c r="E16" i="13"/>
  <c r="D16" i="13"/>
  <c r="G15" i="13"/>
  <c r="F15" i="13"/>
  <c r="E15" i="13"/>
  <c r="D15" i="13"/>
  <c r="K16" i="13"/>
  <c r="J16" i="13"/>
  <c r="I16" i="13"/>
  <c r="H16" i="13"/>
  <c r="K15" i="13"/>
  <c r="J15" i="13"/>
  <c r="I15" i="13"/>
  <c r="H15" i="13"/>
  <c r="H11" i="13"/>
  <c r="H10" i="13"/>
  <c r="D22" i="13"/>
  <c r="D21" i="13"/>
  <c r="G19" i="13"/>
  <c r="F19" i="13"/>
  <c r="E19" i="13"/>
  <c r="D19" i="13"/>
  <c r="E8" i="13"/>
  <c r="D8" i="13"/>
  <c r="K6" i="13"/>
  <c r="J6" i="13"/>
  <c r="I6" i="13"/>
  <c r="K5" i="13"/>
  <c r="J5" i="13"/>
  <c r="I5" i="13"/>
  <c r="K4" i="13"/>
  <c r="J4" i="13"/>
  <c r="I4" i="13"/>
  <c r="H4" i="13"/>
  <c r="G4" i="13"/>
  <c r="F4" i="13"/>
  <c r="E4" i="13"/>
  <c r="D4" i="13"/>
  <c r="E22" i="13"/>
  <c r="E38" i="18"/>
  <c r="G38" i="18"/>
  <c r="E39" i="18"/>
  <c r="G39" i="18"/>
  <c r="E40" i="18"/>
  <c r="G40" i="18"/>
  <c r="E44" i="18"/>
  <c r="E46" i="18"/>
  <c r="E48" i="18"/>
  <c r="E41" i="18"/>
  <c r="E43" i="18"/>
  <c r="E47" i="18"/>
  <c r="E49" i="18"/>
  <c r="I8" i="18"/>
  <c r="I9" i="18"/>
  <c r="F7" i="18"/>
  <c r="E15" i="18"/>
  <c r="F6" i="18"/>
  <c r="F5" i="18"/>
  <c r="F4" i="18"/>
  <c r="H4" i="18"/>
  <c r="H5" i="18"/>
  <c r="H6" i="18"/>
  <c r="H7" i="18"/>
  <c r="H8" i="18"/>
  <c r="E4" i="18"/>
  <c r="G4" i="18"/>
  <c r="G5" i="18"/>
  <c r="G6" i="18"/>
  <c r="G7" i="18"/>
  <c r="G8" i="18"/>
  <c r="J9" i="16"/>
  <c r="I9" i="16"/>
  <c r="H9" i="16"/>
  <c r="P5" i="17"/>
  <c r="M5" i="17"/>
  <c r="K7" i="17"/>
  <c r="O7" i="17"/>
  <c r="E23" i="13"/>
  <c r="J19" i="12"/>
  <c r="AB11" i="12"/>
  <c r="AA11" i="12"/>
  <c r="Z11" i="12"/>
  <c r="Y11" i="12"/>
  <c r="X11" i="12"/>
  <c r="X6" i="12"/>
  <c r="W11" i="12"/>
  <c r="V11" i="12"/>
  <c r="V6" i="12"/>
  <c r="U11" i="12"/>
  <c r="T11" i="12"/>
  <c r="I12" i="15"/>
  <c r="S11" i="12"/>
  <c r="S6" i="12"/>
  <c r="R11" i="12"/>
  <c r="R6" i="12"/>
  <c r="Q11" i="12"/>
  <c r="Q6" i="12"/>
  <c r="H7" i="15"/>
  <c r="P11" i="12"/>
  <c r="P6" i="12"/>
  <c r="O11" i="12"/>
  <c r="N11" i="12"/>
  <c r="N6" i="12"/>
  <c r="M11" i="12"/>
  <c r="L11" i="12"/>
  <c r="K11" i="12"/>
  <c r="K6" i="12"/>
  <c r="L6" i="12"/>
  <c r="M6" i="12"/>
  <c r="F7" i="15"/>
  <c r="J5" i="12"/>
  <c r="I5" i="12"/>
  <c r="H5" i="12"/>
  <c r="G11" i="12"/>
  <c r="G5" i="12"/>
  <c r="F11" i="12"/>
  <c r="F5" i="12"/>
  <c r="D6" i="15"/>
  <c r="E11" i="12"/>
  <c r="D12" i="15"/>
  <c r="D11" i="12"/>
  <c r="AB6" i="12"/>
  <c r="AA6" i="12"/>
  <c r="Y6" i="12"/>
  <c r="U6" i="12"/>
  <c r="T6" i="12"/>
  <c r="I7" i="15"/>
  <c r="M4" i="12"/>
  <c r="L4" i="12"/>
  <c r="I4" i="12"/>
  <c r="H4" i="12"/>
  <c r="J4" i="12"/>
  <c r="E5" i="15"/>
  <c r="AB10" i="11"/>
  <c r="AB6" i="11"/>
  <c r="T10" i="11"/>
  <c r="T6" i="11"/>
  <c r="U10" i="11"/>
  <c r="U6" i="11"/>
  <c r="V10" i="11"/>
  <c r="V6" i="11"/>
  <c r="I7" i="14"/>
  <c r="W10" i="11"/>
  <c r="X10" i="11"/>
  <c r="X6" i="11"/>
  <c r="Y10" i="11"/>
  <c r="Y6" i="11"/>
  <c r="Z10" i="11"/>
  <c r="Z6" i="11"/>
  <c r="AA10" i="11"/>
  <c r="AA6" i="11"/>
  <c r="J18" i="11"/>
  <c r="P10" i="11"/>
  <c r="O10" i="11"/>
  <c r="O6" i="11"/>
  <c r="N10" i="11"/>
  <c r="M10" i="11"/>
  <c r="L10" i="11"/>
  <c r="K10" i="11"/>
  <c r="K6" i="11"/>
  <c r="J10" i="11"/>
  <c r="I10" i="11"/>
  <c r="H10" i="11"/>
  <c r="G10" i="11"/>
  <c r="G5" i="11"/>
  <c r="F10" i="11"/>
  <c r="E10" i="11"/>
  <c r="D10" i="11"/>
  <c r="N6" i="11"/>
  <c r="N4" i="11"/>
  <c r="M6" i="11"/>
  <c r="M5" i="11"/>
  <c r="M4" i="11"/>
  <c r="N5" i="11"/>
  <c r="H5" i="11"/>
  <c r="H4" i="11"/>
  <c r="G4" i="11"/>
  <c r="C22" i="8"/>
  <c r="J21" i="2"/>
  <c r="E19" i="10"/>
  <c r="E20" i="10"/>
  <c r="D18" i="10"/>
  <c r="D19" i="10"/>
  <c r="E16" i="10"/>
  <c r="D16" i="10"/>
  <c r="D12" i="10"/>
  <c r="E12" i="10"/>
  <c r="F12" i="10"/>
  <c r="G12" i="10"/>
  <c r="H12" i="10"/>
  <c r="I12" i="10"/>
  <c r="J12" i="10"/>
  <c r="K12" i="10"/>
  <c r="D13" i="10"/>
  <c r="E13" i="10"/>
  <c r="F13" i="10"/>
  <c r="G13" i="10"/>
  <c r="H13" i="10"/>
  <c r="I13" i="10"/>
  <c r="J13" i="10"/>
  <c r="K13" i="10"/>
  <c r="I5" i="10"/>
  <c r="J5" i="10"/>
  <c r="K5" i="10"/>
  <c r="I6" i="10"/>
  <c r="J6" i="10"/>
  <c r="K6" i="10"/>
  <c r="D7" i="10"/>
  <c r="E7" i="10"/>
  <c r="K4" i="10"/>
  <c r="J4" i="10"/>
  <c r="I4" i="10"/>
  <c r="H4" i="10"/>
  <c r="G4" i="10"/>
  <c r="F4" i="10"/>
  <c r="E4" i="10"/>
  <c r="D4" i="10"/>
  <c r="J18" i="8"/>
  <c r="AB10" i="8"/>
  <c r="AB6" i="8"/>
  <c r="Z10" i="8"/>
  <c r="Z6" i="8"/>
  <c r="AA10" i="8"/>
  <c r="AA6" i="8"/>
  <c r="K7" i="10"/>
  <c r="K4" i="17"/>
  <c r="G41" i="18"/>
  <c r="G42" i="18"/>
  <c r="K5" i="17"/>
  <c r="M5" i="12"/>
  <c r="Q5" i="12"/>
  <c r="Q4" i="12"/>
  <c r="G4" i="12"/>
  <c r="L5" i="12"/>
  <c r="P5" i="12"/>
  <c r="P4" i="12"/>
  <c r="F4" i="12"/>
  <c r="D5" i="15"/>
  <c r="K5" i="11"/>
  <c r="K4" i="11"/>
  <c r="K17" i="11"/>
  <c r="O5" i="11"/>
  <c r="O4" i="11"/>
  <c r="Y10" i="8"/>
  <c r="Y6" i="8"/>
  <c r="X10" i="8"/>
  <c r="X6" i="8"/>
  <c r="W10" i="8"/>
  <c r="V10" i="8"/>
  <c r="V6" i="8"/>
  <c r="U10" i="8"/>
  <c r="U6" i="8"/>
  <c r="T10" i="8"/>
  <c r="S10" i="8"/>
  <c r="S6" i="8"/>
  <c r="R10" i="8"/>
  <c r="R6" i="8"/>
  <c r="Q10" i="8"/>
  <c r="Q6" i="8"/>
  <c r="H7" i="10"/>
  <c r="P10" i="8"/>
  <c r="P6" i="8"/>
  <c r="P4" i="8"/>
  <c r="O10" i="8"/>
  <c r="N10" i="8"/>
  <c r="M10" i="8"/>
  <c r="M6" i="8"/>
  <c r="K10" i="8"/>
  <c r="K6" i="8"/>
  <c r="L10" i="8"/>
  <c r="L6" i="8"/>
  <c r="F7" i="10"/>
  <c r="L4" i="8"/>
  <c r="J10" i="8"/>
  <c r="J5" i="8"/>
  <c r="I10" i="8"/>
  <c r="H10" i="8"/>
  <c r="E11" i="10"/>
  <c r="G10" i="8"/>
  <c r="F10" i="8"/>
  <c r="E10" i="8"/>
  <c r="D10" i="8"/>
  <c r="K5" i="8"/>
  <c r="G5" i="8"/>
  <c r="K4" i="8"/>
  <c r="J4" i="8"/>
  <c r="G4" i="8"/>
  <c r="L13" i="2"/>
  <c r="L7" i="2"/>
  <c r="M13" i="2"/>
  <c r="N13" i="2"/>
  <c r="N7" i="2"/>
  <c r="O13" i="2"/>
  <c r="P13" i="2"/>
  <c r="Q13" i="2"/>
  <c r="R13" i="2"/>
  <c r="R7" i="2"/>
  <c r="S13" i="2"/>
  <c r="S7" i="2"/>
  <c r="T13" i="2"/>
  <c r="U13" i="2"/>
  <c r="U7" i="2"/>
  <c r="V13" i="2"/>
  <c r="V7" i="2"/>
  <c r="W13" i="2"/>
  <c r="W7" i="2"/>
  <c r="X13" i="2"/>
  <c r="X7" i="2"/>
  <c r="Y13" i="2"/>
  <c r="Y7" i="2"/>
  <c r="J8" i="13"/>
  <c r="Z13" i="2"/>
  <c r="Z7" i="2"/>
  <c r="AA13" i="2"/>
  <c r="AA7" i="2"/>
  <c r="AB13" i="2"/>
  <c r="AB7" i="2"/>
  <c r="K13" i="2"/>
  <c r="K7" i="2"/>
  <c r="J13" i="2"/>
  <c r="J5" i="2"/>
  <c r="I13" i="2"/>
  <c r="I4" i="2"/>
  <c r="H13" i="2"/>
  <c r="G13" i="2"/>
  <c r="G4" i="2"/>
  <c r="F13" i="2"/>
  <c r="F5" i="2"/>
  <c r="E13" i="2"/>
  <c r="D13" i="2"/>
  <c r="K20" i="17"/>
  <c r="D14" i="13"/>
  <c r="J14" i="13"/>
  <c r="G14" i="13"/>
  <c r="G5" i="2"/>
  <c r="D6" i="13"/>
  <c r="K5" i="2"/>
  <c r="K4" i="2"/>
  <c r="K20" i="2"/>
  <c r="P7" i="2"/>
  <c r="L4" i="2"/>
  <c r="L5" i="2"/>
  <c r="Q4" i="8"/>
  <c r="H5" i="10"/>
  <c r="G11" i="10"/>
  <c r="H5" i="8"/>
  <c r="F11" i="10"/>
  <c r="J11" i="10"/>
  <c r="T6" i="8"/>
  <c r="I7" i="10"/>
  <c r="W6" i="8"/>
  <c r="J7" i="10"/>
  <c r="O6" i="8"/>
  <c r="O5" i="8"/>
  <c r="K18" i="8"/>
  <c r="L5" i="8"/>
  <c r="L18" i="8"/>
  <c r="K15" i="8"/>
  <c r="K17" i="8"/>
  <c r="L17" i="8"/>
  <c r="H4" i="8"/>
  <c r="D11" i="10"/>
  <c r="H11" i="10"/>
  <c r="N6" i="8"/>
  <c r="K21" i="2"/>
  <c r="L21" i="2"/>
  <c r="Q5" i="8"/>
  <c r="H6" i="10"/>
  <c r="P5" i="8"/>
  <c r="L15" i="8"/>
  <c r="J4" i="2"/>
  <c r="F4" i="2"/>
  <c r="D5" i="13"/>
  <c r="I5" i="2"/>
  <c r="H4" i="2"/>
  <c r="E5" i="13"/>
  <c r="L20" i="2"/>
  <c r="P4" i="2"/>
  <c r="K18" i="2"/>
  <c r="L18" i="2"/>
  <c r="P5" i="2"/>
  <c r="O4" i="8"/>
  <c r="N4" i="8"/>
  <c r="G7" i="10"/>
  <c r="N5" i="8"/>
  <c r="G6" i="10"/>
  <c r="I6" i="16"/>
  <c r="J6" i="16"/>
  <c r="K6" i="16"/>
  <c r="H13" i="16"/>
  <c r="Q7" i="17"/>
  <c r="H8" i="16"/>
  <c r="M5" i="8"/>
  <c r="F6" i="10"/>
  <c r="F19" i="10"/>
  <c r="G19" i="10"/>
  <c r="H19" i="10"/>
  <c r="I19" i="10"/>
  <c r="J19" i="10"/>
  <c r="K19" i="10"/>
  <c r="K15" i="11"/>
  <c r="K18" i="11"/>
  <c r="F4" i="11"/>
  <c r="D5" i="14"/>
  <c r="D11" i="14"/>
  <c r="I5" i="11"/>
  <c r="I4" i="11"/>
  <c r="E11" i="14"/>
  <c r="L6" i="11"/>
  <c r="L4" i="11"/>
  <c r="L17" i="11"/>
  <c r="M17" i="11"/>
  <c r="N17" i="11"/>
  <c r="O17" i="11"/>
  <c r="L5" i="11"/>
  <c r="F6" i="14"/>
  <c r="F19" i="14"/>
  <c r="P6" i="11"/>
  <c r="P5" i="11"/>
  <c r="G6" i="14"/>
  <c r="L7" i="17"/>
  <c r="F8" i="16"/>
  <c r="F13" i="16"/>
  <c r="L5" i="17"/>
  <c r="L20" i="17"/>
  <c r="M20" i="17"/>
  <c r="N7" i="17"/>
  <c r="N5" i="17"/>
  <c r="N20" i="17"/>
  <c r="G13" i="16"/>
  <c r="G5" i="10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N5" i="2"/>
  <c r="N4" i="2"/>
  <c r="N4" i="12"/>
  <c r="P4" i="11"/>
  <c r="K14" i="20"/>
  <c r="Z7" i="21"/>
  <c r="K8" i="20"/>
  <c r="G43" i="18"/>
  <c r="G44" i="18"/>
  <c r="F5" i="11"/>
  <c r="D6" i="14"/>
  <c r="K8" i="16"/>
  <c r="K8" i="13"/>
  <c r="I14" i="13"/>
  <c r="T7" i="2"/>
  <c r="I8" i="13"/>
  <c r="H14" i="13"/>
  <c r="Q7" i="2"/>
  <c r="Q4" i="2"/>
  <c r="M4" i="8"/>
  <c r="M15" i="8"/>
  <c r="J5" i="11"/>
  <c r="E6" i="14"/>
  <c r="J4" i="11"/>
  <c r="E5" i="14"/>
  <c r="K5" i="12"/>
  <c r="K4" i="12"/>
  <c r="F12" i="15"/>
  <c r="G12" i="15"/>
  <c r="N5" i="12"/>
  <c r="K12" i="15"/>
  <c r="Z6" i="12"/>
  <c r="K7" i="15"/>
  <c r="I11" i="14"/>
  <c r="H12" i="15"/>
  <c r="I5" i="17"/>
  <c r="I4" i="17"/>
  <c r="E5" i="16"/>
  <c r="O4" i="17"/>
  <c r="O5" i="17"/>
  <c r="Q7" i="21"/>
  <c r="H14" i="20"/>
  <c r="H5" i="2"/>
  <c r="E6" i="13"/>
  <c r="E14" i="13"/>
  <c r="K14" i="13"/>
  <c r="M7" i="2"/>
  <c r="M4" i="2"/>
  <c r="F5" i="13"/>
  <c r="F21" i="13"/>
  <c r="F14" i="13"/>
  <c r="M5" i="2"/>
  <c r="F6" i="13"/>
  <c r="F22" i="13"/>
  <c r="I4" i="8"/>
  <c r="E5" i="10"/>
  <c r="I5" i="8"/>
  <c r="E6" i="10"/>
  <c r="F5" i="8"/>
  <c r="D6" i="10"/>
  <c r="F4" i="8"/>
  <c r="D5" i="10"/>
  <c r="K17" i="17"/>
  <c r="K19" i="17"/>
  <c r="G5" i="14"/>
  <c r="F7" i="14"/>
  <c r="G11" i="14"/>
  <c r="K7" i="14"/>
  <c r="O6" i="12"/>
  <c r="G7" i="15"/>
  <c r="J12" i="15"/>
  <c r="W6" i="12"/>
  <c r="J7" i="15"/>
  <c r="E6" i="16"/>
  <c r="F12" i="18"/>
  <c r="E12" i="18"/>
  <c r="I10" i="18"/>
  <c r="I11" i="18"/>
  <c r="I12" i="18"/>
  <c r="I13" i="18"/>
  <c r="I14" i="18"/>
  <c r="I15" i="18"/>
  <c r="F10" i="18"/>
  <c r="E29" i="18"/>
  <c r="F22" i="18"/>
  <c r="I22" i="18"/>
  <c r="I23" i="18"/>
  <c r="I24" i="18"/>
  <c r="E22" i="18"/>
  <c r="F45" i="18"/>
  <c r="E45" i="18"/>
  <c r="F42" i="18"/>
  <c r="H42" i="18"/>
  <c r="H43" i="18"/>
  <c r="H44" i="18"/>
  <c r="H26" i="26"/>
  <c r="H27" i="26"/>
  <c r="H31" i="26"/>
  <c r="H37" i="26"/>
  <c r="O7" i="2"/>
  <c r="O5" i="2"/>
  <c r="F8" i="13"/>
  <c r="I11" i="10"/>
  <c r="F5" i="14"/>
  <c r="F18" i="14"/>
  <c r="K11" i="10"/>
  <c r="G7" i="14"/>
  <c r="F11" i="14"/>
  <c r="K11" i="14"/>
  <c r="W6" i="11"/>
  <c r="J7" i="14"/>
  <c r="J11" i="14"/>
  <c r="E6" i="15"/>
  <c r="E13" i="16"/>
  <c r="W7" i="17"/>
  <c r="J8" i="16"/>
  <c r="J13" i="16"/>
  <c r="H22" i="18"/>
  <c r="H23" i="18"/>
  <c r="H24" i="18"/>
  <c r="F25" i="18"/>
  <c r="H25" i="18"/>
  <c r="H26" i="18"/>
  <c r="H27" i="18"/>
  <c r="E32" i="18"/>
  <c r="E28" i="18"/>
  <c r="F28" i="18"/>
  <c r="I25" i="18"/>
  <c r="I26" i="18"/>
  <c r="I27" i="18"/>
  <c r="I28" i="18"/>
  <c r="I29" i="18"/>
  <c r="I30" i="18"/>
  <c r="I31" i="18"/>
  <c r="I32" i="18"/>
  <c r="Q11" i="25"/>
  <c r="Q14" i="25"/>
  <c r="Q19" i="25"/>
  <c r="H38" i="26"/>
  <c r="R5" i="17"/>
  <c r="E9" i="18"/>
  <c r="G9" i="18"/>
  <c r="G10" i="18"/>
  <c r="G11" i="18"/>
  <c r="G12" i="18"/>
  <c r="G13" i="18"/>
  <c r="G14" i="18"/>
  <c r="G15" i="18"/>
  <c r="F9" i="18"/>
  <c r="H9" i="18"/>
  <c r="H10" i="18"/>
  <c r="H11" i="18"/>
  <c r="H12" i="18"/>
  <c r="H13" i="18"/>
  <c r="H14" i="18"/>
  <c r="H15" i="18"/>
  <c r="G22" i="18"/>
  <c r="G23" i="18"/>
  <c r="G24" i="18"/>
  <c r="G25" i="18"/>
  <c r="G26" i="18"/>
  <c r="G27" i="18"/>
  <c r="G28" i="18"/>
  <c r="G29" i="18"/>
  <c r="G30" i="18"/>
  <c r="G31" i="18"/>
  <c r="G32" i="18"/>
  <c r="I8" i="20"/>
  <c r="F14" i="20"/>
  <c r="K7" i="21"/>
  <c r="J14" i="20"/>
  <c r="W7" i="21"/>
  <c r="J8" i="20"/>
  <c r="P11" i="25"/>
  <c r="P14" i="25"/>
  <c r="P19" i="25"/>
  <c r="Q11" i="28"/>
  <c r="Q14" i="28"/>
  <c r="Q19" i="28"/>
  <c r="N19" i="28"/>
  <c r="N11" i="28"/>
  <c r="N14" i="28"/>
  <c r="M5" i="21"/>
  <c r="D5" i="20"/>
  <c r="J4" i="21"/>
  <c r="H5" i="21"/>
  <c r="E6" i="20"/>
  <c r="H4" i="21"/>
  <c r="E5" i="20"/>
  <c r="P5" i="21"/>
  <c r="G6" i="20"/>
  <c r="P4" i="21"/>
  <c r="G5" i="20"/>
  <c r="O29" i="26"/>
  <c r="V29" i="26"/>
  <c r="G31" i="26"/>
  <c r="G39" i="26"/>
  <c r="G58" i="26"/>
  <c r="S11" i="25"/>
  <c r="S14" i="25"/>
  <c r="S19" i="25"/>
  <c r="E23" i="23"/>
  <c r="K7" i="22"/>
  <c r="F14" i="23"/>
  <c r="K4" i="22"/>
  <c r="O4" i="22"/>
  <c r="G5" i="23"/>
  <c r="O5" i="22"/>
  <c r="H14" i="23"/>
  <c r="Q7" i="22"/>
  <c r="H8" i="23"/>
  <c r="O19" i="25"/>
  <c r="L7" i="22"/>
  <c r="L5" i="22"/>
  <c r="K23" i="26"/>
  <c r="R11" i="25"/>
  <c r="R14" i="25"/>
  <c r="G23" i="28"/>
  <c r="H23" i="28"/>
  <c r="I23" i="28"/>
  <c r="J23" i="28"/>
  <c r="K23" i="28"/>
  <c r="L23" i="28"/>
  <c r="M5" i="22"/>
  <c r="M4" i="22"/>
  <c r="J7" i="23"/>
  <c r="V11" i="25"/>
  <c r="V14" i="25"/>
  <c r="T11" i="28"/>
  <c r="T14" i="28"/>
  <c r="T19" i="28"/>
  <c r="G14" i="23"/>
  <c r="N5" i="22"/>
  <c r="J14" i="23"/>
  <c r="W7" i="22"/>
  <c r="J8" i="23"/>
  <c r="E14" i="23"/>
  <c r="L11" i="25"/>
  <c r="L14" i="25"/>
  <c r="L19" i="25"/>
  <c r="R11" i="28"/>
  <c r="R14" i="28"/>
  <c r="O11" i="28"/>
  <c r="O14" i="28"/>
  <c r="O19" i="28"/>
  <c r="H45" i="26"/>
  <c r="F51" i="26"/>
  <c r="J51" i="26"/>
  <c r="F14" i="25"/>
  <c r="F23" i="25"/>
  <c r="G23" i="25"/>
  <c r="H23" i="25"/>
  <c r="I23" i="25"/>
  <c r="J23" i="25"/>
  <c r="K23" i="25"/>
  <c r="G27" i="25"/>
  <c r="G38" i="25"/>
  <c r="G43" i="25"/>
  <c r="G55" i="25"/>
  <c r="U11" i="25"/>
  <c r="U14" i="25"/>
  <c r="W11" i="28"/>
  <c r="W14" i="28"/>
  <c r="P11" i="28"/>
  <c r="P14" i="28"/>
  <c r="P17" i="26"/>
  <c r="P19" i="26"/>
  <c r="F26" i="25"/>
  <c r="F42" i="25"/>
  <c r="M19" i="28"/>
  <c r="V35" i="28"/>
  <c r="V29" i="28"/>
  <c r="T29" i="28"/>
  <c r="T35" i="28"/>
  <c r="R35" i="28"/>
  <c r="R29" i="28"/>
  <c r="J35" i="28"/>
  <c r="J29" i="28"/>
  <c r="G55" i="28"/>
  <c r="L17" i="26"/>
  <c r="L19" i="26"/>
  <c r="T17" i="26"/>
  <c r="T19" i="26"/>
  <c r="N35" i="28"/>
  <c r="N29" i="28"/>
  <c r="F26" i="28"/>
  <c r="F27" i="28"/>
  <c r="F38" i="28"/>
  <c r="F35" i="28"/>
  <c r="F54" i="28"/>
  <c r="F47" i="28"/>
  <c r="F56" i="28"/>
  <c r="L35" i="28"/>
  <c r="P35" i="28"/>
  <c r="H29" i="28"/>
  <c r="L29" i="28"/>
  <c r="P29" i="28"/>
  <c r="H27" i="25"/>
  <c r="H38" i="25"/>
  <c r="G19" i="14"/>
  <c r="G16" i="18"/>
  <c r="F16" i="10"/>
  <c r="N15" i="8"/>
  <c r="G27" i="28"/>
  <c r="G38" i="28"/>
  <c r="F54" i="25"/>
  <c r="F47" i="25"/>
  <c r="F56" i="25"/>
  <c r="H43" i="25"/>
  <c r="H55" i="25"/>
  <c r="H39" i="26"/>
  <c r="M20" i="2"/>
  <c r="N20" i="2"/>
  <c r="O20" i="17"/>
  <c r="P20" i="17"/>
  <c r="F37" i="28"/>
  <c r="F31" i="28"/>
  <c r="F39" i="28"/>
  <c r="H43" i="28"/>
  <c r="H55" i="28"/>
  <c r="F31" i="25"/>
  <c r="F39" i="25"/>
  <c r="F37" i="25"/>
  <c r="H43" i="26"/>
  <c r="H55" i="26"/>
  <c r="H42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F8" i="23"/>
  <c r="F8" i="20"/>
  <c r="K5" i="21"/>
  <c r="K4" i="21"/>
  <c r="I27" i="26"/>
  <c r="I38" i="26"/>
  <c r="H28" i="18"/>
  <c r="H29" i="18"/>
  <c r="H30" i="18"/>
  <c r="H31" i="18"/>
  <c r="H32" i="18"/>
  <c r="G33" i="18"/>
  <c r="H45" i="18"/>
  <c r="H46" i="18"/>
  <c r="H47" i="18"/>
  <c r="H48" i="18"/>
  <c r="H49" i="18"/>
  <c r="O5" i="12"/>
  <c r="F23" i="13"/>
  <c r="H8" i="13"/>
  <c r="Q5" i="2"/>
  <c r="G45" i="18"/>
  <c r="G46" i="18"/>
  <c r="G47" i="18"/>
  <c r="G48" i="18"/>
  <c r="G49" i="18"/>
  <c r="G50" i="18"/>
  <c r="G6" i="13"/>
  <c r="G8" i="16"/>
  <c r="N4" i="17"/>
  <c r="G5" i="16"/>
  <c r="L4" i="17"/>
  <c r="F5" i="16"/>
  <c r="F20" i="16"/>
  <c r="L18" i="11"/>
  <c r="M18" i="11"/>
  <c r="N18" i="11"/>
  <c r="O18" i="11"/>
  <c r="P18" i="11"/>
  <c r="Q5" i="17"/>
  <c r="F58" i="28"/>
  <c r="G42" i="28"/>
  <c r="G47" i="28"/>
  <c r="G56" i="28"/>
  <c r="L23" i="25"/>
  <c r="M23" i="25"/>
  <c r="N23" i="25"/>
  <c r="O23" i="25"/>
  <c r="P23" i="25"/>
  <c r="Q23" i="25"/>
  <c r="R23" i="25"/>
  <c r="S23" i="25"/>
  <c r="T23" i="25"/>
  <c r="U23" i="25"/>
  <c r="V23" i="25"/>
  <c r="W23" i="25"/>
  <c r="G6" i="23"/>
  <c r="L4" i="22"/>
  <c r="Q4" i="22"/>
  <c r="K5" i="22"/>
  <c r="F20" i="14"/>
  <c r="G18" i="14"/>
  <c r="O4" i="2"/>
  <c r="G5" i="13"/>
  <c r="G21" i="13"/>
  <c r="G8" i="13"/>
  <c r="O4" i="12"/>
  <c r="H8" i="20"/>
  <c r="Q4" i="21"/>
  <c r="K18" i="12"/>
  <c r="L18" i="12"/>
  <c r="M18" i="12"/>
  <c r="N18" i="12"/>
  <c r="F5" i="15"/>
  <c r="F19" i="15"/>
  <c r="K16" i="12"/>
  <c r="L16" i="12"/>
  <c r="M16" i="12"/>
  <c r="N16" i="12"/>
  <c r="F6" i="16"/>
  <c r="F21" i="16"/>
  <c r="M18" i="2"/>
  <c r="N18" i="2"/>
  <c r="O18" i="2"/>
  <c r="P18" i="2"/>
  <c r="Q18" i="2"/>
  <c r="M23" i="28"/>
  <c r="N23" i="28"/>
  <c r="O23" i="28"/>
  <c r="P23" i="28"/>
  <c r="Q23" i="28"/>
  <c r="R23" i="28"/>
  <c r="S23" i="28"/>
  <c r="T23" i="28"/>
  <c r="U23" i="28"/>
  <c r="V23" i="28"/>
  <c r="W23" i="28"/>
  <c r="F5" i="23"/>
  <c r="F21" i="23"/>
  <c r="K20" i="22"/>
  <c r="L20" i="22"/>
  <c r="M20" i="22"/>
  <c r="N20" i="22"/>
  <c r="O20" i="22"/>
  <c r="P20" i="22"/>
  <c r="Q20" i="22"/>
  <c r="K18" i="22"/>
  <c r="L18" i="22"/>
  <c r="M18" i="22"/>
  <c r="N18" i="22"/>
  <c r="O18" i="22"/>
  <c r="P18" i="22"/>
  <c r="Q18" i="22"/>
  <c r="I26" i="26"/>
  <c r="I37" i="26"/>
  <c r="I31" i="26"/>
  <c r="I39" i="26"/>
  <c r="G22" i="13"/>
  <c r="G6" i="15"/>
  <c r="K19" i="12"/>
  <c r="L19" i="12"/>
  <c r="M19" i="12"/>
  <c r="N19" i="12"/>
  <c r="O19" i="12"/>
  <c r="P19" i="12"/>
  <c r="Q19" i="12"/>
  <c r="F6" i="15"/>
  <c r="F20" i="15"/>
  <c r="F5" i="10"/>
  <c r="F18" i="10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G5" i="15"/>
  <c r="M21" i="2"/>
  <c r="N21" i="2"/>
  <c r="O21" i="2"/>
  <c r="P21" i="2"/>
  <c r="Q21" i="2"/>
  <c r="G6" i="16"/>
  <c r="P17" i="11"/>
  <c r="L15" i="11"/>
  <c r="M15" i="11"/>
  <c r="F16" i="14"/>
  <c r="N15" i="11"/>
  <c r="I43" i="28"/>
  <c r="I55" i="28"/>
  <c r="H27" i="28"/>
  <c r="H38" i="28"/>
  <c r="J27" i="26"/>
  <c r="J38" i="26"/>
  <c r="I43" i="25"/>
  <c r="I55" i="25"/>
  <c r="G23" i="13"/>
  <c r="O15" i="11"/>
  <c r="P15" i="11"/>
  <c r="R5" i="2"/>
  <c r="R21" i="2"/>
  <c r="S21" i="2"/>
  <c r="T21" i="2"/>
  <c r="U21" i="2"/>
  <c r="V21" i="2"/>
  <c r="W21" i="2"/>
  <c r="X21" i="2"/>
  <c r="Y21" i="2"/>
  <c r="Z21" i="2"/>
  <c r="AA21" i="2"/>
  <c r="AB21" i="2"/>
  <c r="G20" i="15"/>
  <c r="G21" i="23"/>
  <c r="O16" i="12"/>
  <c r="P16" i="12"/>
  <c r="Q16" i="12"/>
  <c r="G20" i="14"/>
  <c r="G54" i="28"/>
  <c r="Q5" i="11"/>
  <c r="H47" i="26"/>
  <c r="H56" i="26"/>
  <c r="H54" i="26"/>
  <c r="Q20" i="17"/>
  <c r="R20" i="17"/>
  <c r="L19" i="17"/>
  <c r="M19" i="17"/>
  <c r="N19" i="17"/>
  <c r="O19" i="17"/>
  <c r="P19" i="17"/>
  <c r="R5" i="12"/>
  <c r="H6" i="15"/>
  <c r="J26" i="26"/>
  <c r="J31" i="26"/>
  <c r="J39" i="26"/>
  <c r="G19" i="15"/>
  <c r="F21" i="15"/>
  <c r="F22" i="16"/>
  <c r="G20" i="16"/>
  <c r="K20" i="21"/>
  <c r="L20" i="21"/>
  <c r="M20" i="21"/>
  <c r="N20" i="21"/>
  <c r="O20" i="21"/>
  <c r="P20" i="21"/>
  <c r="Q20" i="21"/>
  <c r="F5" i="20"/>
  <c r="F21" i="20"/>
  <c r="K18" i="21"/>
  <c r="L18" i="21"/>
  <c r="M18" i="21"/>
  <c r="N18" i="21"/>
  <c r="O18" i="21"/>
  <c r="P18" i="21"/>
  <c r="Q18" i="21"/>
  <c r="I43" i="26"/>
  <c r="I55" i="26"/>
  <c r="O20" i="2"/>
  <c r="P20" i="2"/>
  <c r="Q20" i="2"/>
  <c r="Q4" i="11"/>
  <c r="Q17" i="11"/>
  <c r="O18" i="12"/>
  <c r="P18" i="12"/>
  <c r="Q18" i="12"/>
  <c r="F6" i="23"/>
  <c r="F22" i="23"/>
  <c r="F23" i="23"/>
  <c r="K21" i="22"/>
  <c r="L21" i="22"/>
  <c r="M21" i="22"/>
  <c r="N21" i="22"/>
  <c r="O21" i="22"/>
  <c r="H6" i="13"/>
  <c r="H22" i="13"/>
  <c r="I22" i="13"/>
  <c r="J22" i="13"/>
  <c r="K22" i="13"/>
  <c r="L17" i="17"/>
  <c r="M17" i="17"/>
  <c r="N17" i="17"/>
  <c r="O17" i="17"/>
  <c r="P17" i="17"/>
  <c r="F6" i="20"/>
  <c r="F22" i="20"/>
  <c r="G22" i="20"/>
  <c r="H22" i="20"/>
  <c r="I22" i="20"/>
  <c r="J22" i="20"/>
  <c r="K22" i="20"/>
  <c r="K21" i="21"/>
  <c r="L21" i="21"/>
  <c r="M21" i="21"/>
  <c r="N21" i="21"/>
  <c r="O21" i="21"/>
  <c r="P21" i="21"/>
  <c r="G26" i="25"/>
  <c r="G31" i="25"/>
  <c r="G39" i="25"/>
  <c r="F58" i="25"/>
  <c r="O15" i="8"/>
  <c r="P15" i="8"/>
  <c r="Q15" i="8"/>
  <c r="R15" i="8"/>
  <c r="S15" i="8"/>
  <c r="I27" i="25"/>
  <c r="I38" i="25"/>
  <c r="F20" i="10"/>
  <c r="G18" i="10"/>
  <c r="R4" i="22"/>
  <c r="R18" i="22"/>
  <c r="S18" i="22"/>
  <c r="G21" i="16"/>
  <c r="G26" i="28"/>
  <c r="G37" i="28"/>
  <c r="G31" i="28"/>
  <c r="G39" i="28"/>
  <c r="G58" i="28"/>
  <c r="G42" i="25"/>
  <c r="G47" i="25"/>
  <c r="G56" i="25"/>
  <c r="H19" i="23"/>
  <c r="T18" i="22"/>
  <c r="U18" i="22"/>
  <c r="V18" i="22"/>
  <c r="J43" i="25"/>
  <c r="J55" i="25"/>
  <c r="R4" i="11"/>
  <c r="R17" i="11"/>
  <c r="K27" i="26"/>
  <c r="K38" i="26"/>
  <c r="I27" i="28"/>
  <c r="I38" i="28"/>
  <c r="G58" i="25"/>
  <c r="J43" i="28"/>
  <c r="J55" i="28"/>
  <c r="G16" i="10"/>
  <c r="G37" i="25"/>
  <c r="S5" i="17"/>
  <c r="H6" i="16"/>
  <c r="H26" i="28"/>
  <c r="H37" i="28"/>
  <c r="H31" i="28"/>
  <c r="H39" i="28"/>
  <c r="G54" i="25"/>
  <c r="H5" i="23"/>
  <c r="H21" i="23"/>
  <c r="R20" i="22"/>
  <c r="S20" i="22"/>
  <c r="T20" i="22"/>
  <c r="U20" i="22"/>
  <c r="V20" i="22"/>
  <c r="W20" i="22"/>
  <c r="X20" i="22"/>
  <c r="Y20" i="22"/>
  <c r="Z20" i="22"/>
  <c r="AA20" i="22"/>
  <c r="AB20" i="22"/>
  <c r="R4" i="2"/>
  <c r="R20" i="2"/>
  <c r="S20" i="2"/>
  <c r="T20" i="2"/>
  <c r="U20" i="2"/>
  <c r="V20" i="2"/>
  <c r="W20" i="2"/>
  <c r="X20" i="2"/>
  <c r="Y20" i="2"/>
  <c r="Z20" i="2"/>
  <c r="AA20" i="2"/>
  <c r="AB20" i="2"/>
  <c r="G21" i="20"/>
  <c r="F23" i="20"/>
  <c r="R19" i="12"/>
  <c r="S19" i="12"/>
  <c r="T19" i="12"/>
  <c r="U19" i="12"/>
  <c r="V19" i="12"/>
  <c r="W19" i="12"/>
  <c r="X19" i="12"/>
  <c r="Y19" i="12"/>
  <c r="Z19" i="12"/>
  <c r="AA19" i="12"/>
  <c r="AB19" i="12"/>
  <c r="I42" i="26"/>
  <c r="I47" i="26"/>
  <c r="H42" i="28"/>
  <c r="H47" i="28"/>
  <c r="H56" i="28"/>
  <c r="G23" i="23"/>
  <c r="H21" i="16"/>
  <c r="I21" i="16"/>
  <c r="J21" i="16"/>
  <c r="K21" i="16"/>
  <c r="H18" i="10"/>
  <c r="G20" i="10"/>
  <c r="J27" i="25"/>
  <c r="J38" i="25"/>
  <c r="J43" i="26"/>
  <c r="J55" i="26"/>
  <c r="R4" i="21"/>
  <c r="H5" i="20"/>
  <c r="R20" i="21"/>
  <c r="S20" i="21"/>
  <c r="T20" i="21"/>
  <c r="U20" i="21"/>
  <c r="V20" i="21"/>
  <c r="W20" i="21"/>
  <c r="X20" i="21"/>
  <c r="Y20" i="21"/>
  <c r="Z20" i="21"/>
  <c r="AA20" i="21"/>
  <c r="AB20" i="21"/>
  <c r="R4" i="12"/>
  <c r="H5" i="15"/>
  <c r="H19" i="15"/>
  <c r="G21" i="15"/>
  <c r="H58" i="26"/>
  <c r="I56" i="26"/>
  <c r="Q15" i="11"/>
  <c r="H16" i="10"/>
  <c r="T15" i="8"/>
  <c r="U15" i="8"/>
  <c r="V15" i="8"/>
  <c r="Q4" i="17"/>
  <c r="Q17" i="17"/>
  <c r="R18" i="12"/>
  <c r="S18" i="12"/>
  <c r="T18" i="12"/>
  <c r="U18" i="12"/>
  <c r="V18" i="12"/>
  <c r="W18" i="12"/>
  <c r="X18" i="12"/>
  <c r="Y18" i="12"/>
  <c r="Z18" i="12"/>
  <c r="AA18" i="12"/>
  <c r="AB18" i="12"/>
  <c r="G22" i="16"/>
  <c r="J37" i="26"/>
  <c r="Q19" i="17"/>
  <c r="Q18" i="11"/>
  <c r="H20" i="15"/>
  <c r="I20" i="15"/>
  <c r="J20" i="15"/>
  <c r="K20" i="15"/>
  <c r="G16" i="14"/>
  <c r="K27" i="25"/>
  <c r="K38" i="25"/>
  <c r="I21" i="23"/>
  <c r="H23" i="23"/>
  <c r="J27" i="28"/>
  <c r="J38" i="28"/>
  <c r="K43" i="25"/>
  <c r="K55" i="25"/>
  <c r="L27" i="26"/>
  <c r="L38" i="26"/>
  <c r="K43" i="28"/>
  <c r="K55" i="28"/>
  <c r="R5" i="11"/>
  <c r="R18" i="11"/>
  <c r="R4" i="17"/>
  <c r="R19" i="17"/>
  <c r="I58" i="26"/>
  <c r="W15" i="8"/>
  <c r="X15" i="8"/>
  <c r="Y15" i="8"/>
  <c r="I16" i="10"/>
  <c r="K26" i="26"/>
  <c r="K31" i="26"/>
  <c r="K39" i="26"/>
  <c r="I54" i="26"/>
  <c r="H42" i="25"/>
  <c r="H47" i="25"/>
  <c r="H56" i="25"/>
  <c r="H54" i="25"/>
  <c r="R16" i="12"/>
  <c r="S16" i="12"/>
  <c r="H26" i="25"/>
  <c r="H31" i="25"/>
  <c r="H39" i="25"/>
  <c r="R15" i="11"/>
  <c r="I19" i="15"/>
  <c r="H21" i="15"/>
  <c r="K43" i="26"/>
  <c r="K55" i="26"/>
  <c r="H20" i="10"/>
  <c r="I18" i="10"/>
  <c r="H58" i="28"/>
  <c r="H5" i="13"/>
  <c r="H21" i="13"/>
  <c r="R18" i="2"/>
  <c r="S18" i="2"/>
  <c r="R18" i="21"/>
  <c r="S18" i="21"/>
  <c r="H54" i="28"/>
  <c r="S20" i="17"/>
  <c r="T20" i="17"/>
  <c r="U20" i="17"/>
  <c r="V20" i="17"/>
  <c r="W20" i="17"/>
  <c r="X20" i="17"/>
  <c r="Y20" i="17"/>
  <c r="Z20" i="17"/>
  <c r="AA20" i="17"/>
  <c r="AB20" i="17"/>
  <c r="S4" i="11"/>
  <c r="H5" i="14"/>
  <c r="H18" i="14"/>
  <c r="I19" i="23"/>
  <c r="W18" i="22"/>
  <c r="X18" i="22"/>
  <c r="Y18" i="22"/>
  <c r="R17" i="17"/>
  <c r="G23" i="20"/>
  <c r="H21" i="20"/>
  <c r="I26" i="28"/>
  <c r="I31" i="28"/>
  <c r="I39" i="28"/>
  <c r="S4" i="17"/>
  <c r="H5" i="16"/>
  <c r="H20" i="16"/>
  <c r="M27" i="26"/>
  <c r="M38" i="26"/>
  <c r="L43" i="25"/>
  <c r="L55" i="25"/>
  <c r="L43" i="26"/>
  <c r="L55" i="26"/>
  <c r="K27" i="28"/>
  <c r="K38" i="28"/>
  <c r="I37" i="28"/>
  <c r="S17" i="11"/>
  <c r="T18" i="21"/>
  <c r="U18" i="21"/>
  <c r="V18" i="21"/>
  <c r="H19" i="20"/>
  <c r="H37" i="25"/>
  <c r="H58" i="25"/>
  <c r="L43" i="28"/>
  <c r="L55" i="28"/>
  <c r="T18" i="2"/>
  <c r="U18" i="2"/>
  <c r="V18" i="2"/>
  <c r="H19" i="13"/>
  <c r="I20" i="10"/>
  <c r="J18" i="10"/>
  <c r="J42" i="26"/>
  <c r="J47" i="26"/>
  <c r="J56" i="26"/>
  <c r="J16" i="10"/>
  <c r="Z15" i="8"/>
  <c r="AA15" i="8"/>
  <c r="AB15" i="8"/>
  <c r="J21" i="23"/>
  <c r="I23" i="23"/>
  <c r="S17" i="17"/>
  <c r="H23" i="20"/>
  <c r="I21" i="20"/>
  <c r="I21" i="13"/>
  <c r="H23" i="13"/>
  <c r="J19" i="15"/>
  <c r="I21" i="15"/>
  <c r="H17" i="15"/>
  <c r="T16" i="12"/>
  <c r="U16" i="12"/>
  <c r="V16" i="12"/>
  <c r="K37" i="26"/>
  <c r="S5" i="11"/>
  <c r="S18" i="11"/>
  <c r="L27" i="25"/>
  <c r="L38" i="25"/>
  <c r="J19" i="23"/>
  <c r="Z18" i="22"/>
  <c r="AA18" i="22"/>
  <c r="AB18" i="22"/>
  <c r="K19" i="23"/>
  <c r="I42" i="28"/>
  <c r="I47" i="28"/>
  <c r="I56" i="28"/>
  <c r="S15" i="11"/>
  <c r="I42" i="25"/>
  <c r="I47" i="25"/>
  <c r="I56" i="25"/>
  <c r="H6" i="14"/>
  <c r="H19" i="14"/>
  <c r="M43" i="26"/>
  <c r="M55" i="26"/>
  <c r="M43" i="25"/>
  <c r="M55" i="25"/>
  <c r="N27" i="26"/>
  <c r="N38" i="26"/>
  <c r="L27" i="28"/>
  <c r="L38" i="28"/>
  <c r="M27" i="25"/>
  <c r="M38" i="25"/>
  <c r="L26" i="26"/>
  <c r="L31" i="26"/>
  <c r="L39" i="26"/>
  <c r="K19" i="15"/>
  <c r="K21" i="15"/>
  <c r="J21" i="15"/>
  <c r="I54" i="25"/>
  <c r="I54" i="28"/>
  <c r="I17" i="15"/>
  <c r="W16" i="12"/>
  <c r="X16" i="12"/>
  <c r="Y16" i="12"/>
  <c r="H18" i="16"/>
  <c r="H20" i="14"/>
  <c r="T4" i="11"/>
  <c r="T17" i="11"/>
  <c r="T5" i="11"/>
  <c r="T18" i="11"/>
  <c r="J21" i="13"/>
  <c r="I23" i="13"/>
  <c r="J58" i="26"/>
  <c r="M43" i="28"/>
  <c r="M55" i="28"/>
  <c r="I26" i="25"/>
  <c r="I31" i="25"/>
  <c r="I39" i="25"/>
  <c r="I58" i="25"/>
  <c r="J26" i="28"/>
  <c r="J37" i="28"/>
  <c r="J31" i="28"/>
  <c r="J39" i="28"/>
  <c r="H16" i="14"/>
  <c r="J21" i="20"/>
  <c r="I23" i="20"/>
  <c r="J23" i="23"/>
  <c r="K21" i="23"/>
  <c r="K23" i="23"/>
  <c r="J54" i="26"/>
  <c r="I19" i="13"/>
  <c r="W18" i="2"/>
  <c r="X18" i="2"/>
  <c r="Y18" i="2"/>
  <c r="S19" i="17"/>
  <c r="I58" i="28"/>
  <c r="K16" i="10"/>
  <c r="C24" i="8"/>
  <c r="K18" i="10"/>
  <c r="K20" i="10"/>
  <c r="J20" i="10"/>
  <c r="I19" i="20"/>
  <c r="W18" i="21"/>
  <c r="X18" i="21"/>
  <c r="Y18" i="21"/>
  <c r="H22" i="16"/>
  <c r="U4" i="11"/>
  <c r="U17" i="11"/>
  <c r="M27" i="28"/>
  <c r="M38" i="28"/>
  <c r="O27" i="26"/>
  <c r="O38" i="26"/>
  <c r="N43" i="25"/>
  <c r="N55" i="25"/>
  <c r="N43" i="28"/>
  <c r="N55" i="28"/>
  <c r="U5" i="11"/>
  <c r="U18" i="11"/>
  <c r="N43" i="26"/>
  <c r="N55" i="26"/>
  <c r="K21" i="20"/>
  <c r="K23" i="20"/>
  <c r="J23" i="20"/>
  <c r="K26" i="28"/>
  <c r="K31" i="28"/>
  <c r="K39" i="28"/>
  <c r="Z18" i="21"/>
  <c r="AA18" i="21"/>
  <c r="AB18" i="21"/>
  <c r="K19" i="20"/>
  <c r="J19" i="20"/>
  <c r="T4" i="17"/>
  <c r="T19" i="17"/>
  <c r="T15" i="11"/>
  <c r="U15" i="11"/>
  <c r="I37" i="25"/>
  <c r="J42" i="28"/>
  <c r="J47" i="28"/>
  <c r="J56" i="28"/>
  <c r="J42" i="25"/>
  <c r="J47" i="25"/>
  <c r="J56" i="25"/>
  <c r="L37" i="26"/>
  <c r="J19" i="13"/>
  <c r="Z18" i="2"/>
  <c r="AA18" i="2"/>
  <c r="AB18" i="2"/>
  <c r="K19" i="13"/>
  <c r="K42" i="26"/>
  <c r="K47" i="26"/>
  <c r="K56" i="26"/>
  <c r="K21" i="13"/>
  <c r="K23" i="13"/>
  <c r="J23" i="13"/>
  <c r="J17" i="15"/>
  <c r="Z16" i="12"/>
  <c r="AA16" i="12"/>
  <c r="AB16" i="12"/>
  <c r="K17" i="15"/>
  <c r="N27" i="25"/>
  <c r="N38" i="25"/>
  <c r="O43" i="25"/>
  <c r="O55" i="25"/>
  <c r="O43" i="26"/>
  <c r="O55" i="26"/>
  <c r="P27" i="26"/>
  <c r="P38" i="26"/>
  <c r="N27" i="28"/>
  <c r="N38" i="28"/>
  <c r="V5" i="11"/>
  <c r="I6" i="14"/>
  <c r="I19" i="14"/>
  <c r="O43" i="28"/>
  <c r="O55" i="28"/>
  <c r="V4" i="11"/>
  <c r="I5" i="14"/>
  <c r="I18" i="14"/>
  <c r="J54" i="25"/>
  <c r="J26" i="25"/>
  <c r="J31" i="25"/>
  <c r="J39" i="25"/>
  <c r="J37" i="25"/>
  <c r="J58" i="28"/>
  <c r="V15" i="11"/>
  <c r="K58" i="26"/>
  <c r="M26" i="26"/>
  <c r="M31" i="26"/>
  <c r="M39" i="26"/>
  <c r="M37" i="26"/>
  <c r="J54" i="28"/>
  <c r="U4" i="17"/>
  <c r="U19" i="17"/>
  <c r="O27" i="25"/>
  <c r="O38" i="25"/>
  <c r="K54" i="26"/>
  <c r="J58" i="25"/>
  <c r="T17" i="17"/>
  <c r="U17" i="17"/>
  <c r="K37" i="28"/>
  <c r="P27" i="25"/>
  <c r="P38" i="25"/>
  <c r="O27" i="28"/>
  <c r="O38" i="28"/>
  <c r="Q27" i="26"/>
  <c r="Q38" i="26"/>
  <c r="P43" i="26"/>
  <c r="P55" i="26"/>
  <c r="P43" i="25"/>
  <c r="P55" i="25"/>
  <c r="N26" i="26"/>
  <c r="N37" i="26"/>
  <c r="N31" i="26"/>
  <c r="N39" i="26"/>
  <c r="I16" i="14"/>
  <c r="P43" i="28"/>
  <c r="P55" i="28"/>
  <c r="L26" i="28"/>
  <c r="L37" i="28"/>
  <c r="L31" i="28"/>
  <c r="L39" i="28"/>
  <c r="V4" i="17"/>
  <c r="V19" i="17"/>
  <c r="I5" i="16"/>
  <c r="I20" i="16"/>
  <c r="K42" i="25"/>
  <c r="K47" i="25"/>
  <c r="K56" i="25"/>
  <c r="V17" i="17"/>
  <c r="L42" i="26"/>
  <c r="L47" i="26"/>
  <c r="L56" i="26"/>
  <c r="V17" i="11"/>
  <c r="V18" i="11"/>
  <c r="K42" i="28"/>
  <c r="K47" i="28"/>
  <c r="K56" i="28"/>
  <c r="K26" i="25"/>
  <c r="K31" i="25"/>
  <c r="K39" i="25"/>
  <c r="I20" i="14"/>
  <c r="R27" i="26"/>
  <c r="R38" i="26"/>
  <c r="P27" i="28"/>
  <c r="P38" i="28"/>
  <c r="Q43" i="28"/>
  <c r="Q55" i="28"/>
  <c r="Q43" i="25"/>
  <c r="Q55" i="25"/>
  <c r="Q43" i="26"/>
  <c r="Q55" i="26"/>
  <c r="K54" i="28"/>
  <c r="I22" i="16"/>
  <c r="L58" i="26"/>
  <c r="I18" i="16"/>
  <c r="O26" i="26"/>
  <c r="O31" i="26"/>
  <c r="O39" i="26"/>
  <c r="W5" i="11"/>
  <c r="W18" i="11"/>
  <c r="W4" i="17"/>
  <c r="W17" i="17"/>
  <c r="W19" i="17"/>
  <c r="K37" i="25"/>
  <c r="W4" i="11"/>
  <c r="K54" i="25"/>
  <c r="Q27" i="25"/>
  <c r="Q38" i="25"/>
  <c r="K58" i="28"/>
  <c r="L54" i="26"/>
  <c r="K58" i="25"/>
  <c r="M26" i="28"/>
  <c r="M31" i="28"/>
  <c r="M39" i="28"/>
  <c r="R27" i="25"/>
  <c r="R38" i="25"/>
  <c r="Q27" i="28"/>
  <c r="Q38" i="28"/>
  <c r="R43" i="26"/>
  <c r="R55" i="26"/>
  <c r="R43" i="25"/>
  <c r="R55" i="25"/>
  <c r="S27" i="26"/>
  <c r="S38" i="26"/>
  <c r="L26" i="25"/>
  <c r="L31" i="25"/>
  <c r="L39" i="25"/>
  <c r="X5" i="11"/>
  <c r="X18" i="11"/>
  <c r="L42" i="25"/>
  <c r="L47" i="25"/>
  <c r="L56" i="25"/>
  <c r="X4" i="17"/>
  <c r="X17" i="17"/>
  <c r="L42" i="28"/>
  <c r="L54" i="28"/>
  <c r="L47" i="28"/>
  <c r="L56" i="28"/>
  <c r="M37" i="28"/>
  <c r="W15" i="11"/>
  <c r="O37" i="26"/>
  <c r="R43" i="28"/>
  <c r="R55" i="28"/>
  <c r="M42" i="26"/>
  <c r="M47" i="26"/>
  <c r="M56" i="26"/>
  <c r="W17" i="11"/>
  <c r="T27" i="26"/>
  <c r="T38" i="26"/>
  <c r="R27" i="28"/>
  <c r="R38" i="28"/>
  <c r="S43" i="28"/>
  <c r="S55" i="28"/>
  <c r="Y5" i="11"/>
  <c r="J6" i="14"/>
  <c r="J19" i="14"/>
  <c r="S27" i="25"/>
  <c r="S38" i="25"/>
  <c r="M42" i="28"/>
  <c r="M54" i="28"/>
  <c r="M47" i="28"/>
  <c r="L58" i="25"/>
  <c r="S43" i="26"/>
  <c r="S55" i="26"/>
  <c r="X4" i="11"/>
  <c r="X17" i="11"/>
  <c r="M54" i="26"/>
  <c r="P26" i="26"/>
  <c r="P31" i="26"/>
  <c r="P39" i="26"/>
  <c r="N26" i="28"/>
  <c r="N37" i="28"/>
  <c r="N31" i="28"/>
  <c r="N39" i="28"/>
  <c r="X19" i="17"/>
  <c r="M58" i="26"/>
  <c r="M56" i="28"/>
  <c r="L58" i="28"/>
  <c r="L54" i="25"/>
  <c r="L37" i="25"/>
  <c r="S43" i="25"/>
  <c r="S55" i="25"/>
  <c r="T43" i="28"/>
  <c r="T55" i="28"/>
  <c r="T43" i="25"/>
  <c r="T55" i="25"/>
  <c r="S27" i="28"/>
  <c r="S38" i="28"/>
  <c r="T43" i="26"/>
  <c r="T55" i="26"/>
  <c r="T27" i="25"/>
  <c r="T38" i="25"/>
  <c r="U27" i="26"/>
  <c r="U38" i="26"/>
  <c r="M26" i="25"/>
  <c r="M31" i="25"/>
  <c r="M39" i="25"/>
  <c r="O26" i="28"/>
  <c r="O37" i="28"/>
  <c r="O31" i="28"/>
  <c r="O39" i="28"/>
  <c r="Y4" i="11"/>
  <c r="Y17" i="11"/>
  <c r="N42" i="28"/>
  <c r="N47" i="28"/>
  <c r="M42" i="25"/>
  <c r="M47" i="25"/>
  <c r="M56" i="25"/>
  <c r="Y4" i="17"/>
  <c r="Y19" i="17"/>
  <c r="P37" i="26"/>
  <c r="X15" i="11"/>
  <c r="Y15" i="11"/>
  <c r="N56" i="28"/>
  <c r="M58" i="28"/>
  <c r="N42" i="26"/>
  <c r="N47" i="26"/>
  <c r="N56" i="26"/>
  <c r="N54" i="26"/>
  <c r="Y18" i="11"/>
  <c r="U43" i="26"/>
  <c r="U55" i="26"/>
  <c r="Z4" i="11"/>
  <c r="Z17" i="11"/>
  <c r="T27" i="28"/>
  <c r="T38" i="28"/>
  <c r="U43" i="25"/>
  <c r="U55" i="25"/>
  <c r="U27" i="25"/>
  <c r="U38" i="25"/>
  <c r="U43" i="28"/>
  <c r="U55" i="28"/>
  <c r="J16" i="14"/>
  <c r="Z5" i="11"/>
  <c r="Z15" i="11"/>
  <c r="Z18" i="11"/>
  <c r="M58" i="25"/>
  <c r="Q26" i="26"/>
  <c r="Q31" i="26"/>
  <c r="Q39" i="26"/>
  <c r="N54" i="28"/>
  <c r="V27" i="26"/>
  <c r="V38" i="26"/>
  <c r="O42" i="26"/>
  <c r="O47" i="26"/>
  <c r="N58" i="26"/>
  <c r="O56" i="26"/>
  <c r="M54" i="25"/>
  <c r="P26" i="28"/>
  <c r="P31" i="28"/>
  <c r="P39" i="28"/>
  <c r="J5" i="16"/>
  <c r="J20" i="16"/>
  <c r="Y17" i="17"/>
  <c r="J5" i="14"/>
  <c r="J18" i="14"/>
  <c r="M37" i="25"/>
  <c r="N58" i="28"/>
  <c r="Z4" i="17"/>
  <c r="Z19" i="17"/>
  <c r="U27" i="28"/>
  <c r="U38" i="28"/>
  <c r="W27" i="26"/>
  <c r="W38" i="26"/>
  <c r="V43" i="28"/>
  <c r="V55" i="28"/>
  <c r="AA4" i="11"/>
  <c r="AA17" i="11"/>
  <c r="V43" i="25"/>
  <c r="V55" i="25"/>
  <c r="J22" i="16"/>
  <c r="O58" i="26"/>
  <c r="J18" i="16"/>
  <c r="Z17" i="17"/>
  <c r="N42" i="25"/>
  <c r="N47" i="25"/>
  <c r="N56" i="25"/>
  <c r="O54" i="26"/>
  <c r="Q37" i="26"/>
  <c r="AA5" i="11"/>
  <c r="AA4" i="17"/>
  <c r="AA19" i="17"/>
  <c r="V27" i="25"/>
  <c r="V38" i="25"/>
  <c r="V43" i="26"/>
  <c r="V55" i="26"/>
  <c r="N26" i="25"/>
  <c r="N31" i="25"/>
  <c r="N39" i="25"/>
  <c r="J20" i="14"/>
  <c r="P37" i="28"/>
  <c r="O42" i="28"/>
  <c r="O47" i="28"/>
  <c r="O56" i="28"/>
  <c r="W43" i="28"/>
  <c r="W55" i="28"/>
  <c r="W43" i="26"/>
  <c r="W55" i="26"/>
  <c r="W43" i="25"/>
  <c r="W55" i="25"/>
  <c r="AB4" i="11"/>
  <c r="K5" i="14"/>
  <c r="K18" i="14"/>
  <c r="AA15" i="11"/>
  <c r="AA18" i="11"/>
  <c r="P42" i="26"/>
  <c r="P47" i="26"/>
  <c r="P56" i="26"/>
  <c r="P54" i="26"/>
  <c r="N58" i="25"/>
  <c r="AB4" i="17"/>
  <c r="K5" i="16"/>
  <c r="K20" i="16"/>
  <c r="K22" i="16"/>
  <c r="O54" i="28"/>
  <c r="N37" i="25"/>
  <c r="N54" i="25"/>
  <c r="V27" i="28"/>
  <c r="V38" i="28"/>
  <c r="O58" i="28"/>
  <c r="Q26" i="28"/>
  <c r="Q31" i="28"/>
  <c r="Q39" i="28"/>
  <c r="W27" i="25"/>
  <c r="W38" i="25"/>
  <c r="R26" i="26"/>
  <c r="R31" i="26"/>
  <c r="R39" i="26"/>
  <c r="AA17" i="17"/>
  <c r="AB17" i="17"/>
  <c r="W27" i="28"/>
  <c r="W38" i="28"/>
  <c r="C26" i="17"/>
  <c r="K18" i="16"/>
  <c r="O26" i="25"/>
  <c r="O31" i="25"/>
  <c r="O39" i="25"/>
  <c r="AB5" i="11"/>
  <c r="K6" i="14"/>
  <c r="K19" i="14"/>
  <c r="R37" i="26"/>
  <c r="Q37" i="28"/>
  <c r="P42" i="28"/>
  <c r="P47" i="28"/>
  <c r="P56" i="28"/>
  <c r="AB15" i="11"/>
  <c r="AB19" i="17"/>
  <c r="Q42" i="26"/>
  <c r="Q47" i="26"/>
  <c r="Q54" i="26"/>
  <c r="K20" i="14"/>
  <c r="O42" i="25"/>
  <c r="O47" i="25"/>
  <c r="O56" i="25"/>
  <c r="P58" i="26"/>
  <c r="Q56" i="26"/>
  <c r="AB17" i="11"/>
  <c r="P58" i="28"/>
  <c r="R42" i="26"/>
  <c r="R47" i="26"/>
  <c r="P54" i="28"/>
  <c r="AB18" i="11"/>
  <c r="O58" i="25"/>
  <c r="O54" i="25"/>
  <c r="R26" i="28"/>
  <c r="R31" i="28"/>
  <c r="R39" i="28"/>
  <c r="O37" i="25"/>
  <c r="Q58" i="26"/>
  <c r="R56" i="26"/>
  <c r="K16" i="14"/>
  <c r="C24" i="11"/>
  <c r="S26" i="26"/>
  <c r="S31" i="26"/>
  <c r="S39" i="26"/>
  <c r="S37" i="26"/>
  <c r="P26" i="25"/>
  <c r="P31" i="25"/>
  <c r="P39" i="25"/>
  <c r="R54" i="26"/>
  <c r="T26" i="26"/>
  <c r="T31" i="26"/>
  <c r="T39" i="26"/>
  <c r="R58" i="26"/>
  <c r="R37" i="28"/>
  <c r="P42" i="25"/>
  <c r="P47" i="25"/>
  <c r="P56" i="25"/>
  <c r="Q42" i="28"/>
  <c r="Q47" i="28"/>
  <c r="Q56" i="28"/>
  <c r="Q58" i="28"/>
  <c r="S26" i="28"/>
  <c r="S31" i="28"/>
  <c r="S39" i="28"/>
  <c r="T37" i="26"/>
  <c r="P58" i="25"/>
  <c r="Q54" i="28"/>
  <c r="S42" i="26"/>
  <c r="S47" i="26"/>
  <c r="S56" i="26"/>
  <c r="P54" i="25"/>
  <c r="P37" i="25"/>
  <c r="Q26" i="25"/>
  <c r="Q31" i="25"/>
  <c r="Q39" i="25"/>
  <c r="Q42" i="25"/>
  <c r="Q47" i="25"/>
  <c r="Q56" i="25"/>
  <c r="S37" i="28"/>
  <c r="S58" i="26"/>
  <c r="R42" i="28"/>
  <c r="R47" i="28"/>
  <c r="R56" i="28"/>
  <c r="S54" i="26"/>
  <c r="U26" i="26"/>
  <c r="U31" i="26"/>
  <c r="U39" i="26"/>
  <c r="U37" i="26"/>
  <c r="V26" i="26"/>
  <c r="V31" i="26"/>
  <c r="V39" i="26"/>
  <c r="Q58" i="25"/>
  <c r="Q54" i="25"/>
  <c r="R54" i="28"/>
  <c r="T42" i="26"/>
  <c r="T47" i="26"/>
  <c r="T56" i="26"/>
  <c r="Q37" i="25"/>
  <c r="R58" i="28"/>
  <c r="T26" i="28"/>
  <c r="T37" i="28"/>
  <c r="T31" i="28"/>
  <c r="T39" i="28"/>
  <c r="U26" i="28"/>
  <c r="U31" i="28"/>
  <c r="U39" i="28"/>
  <c r="T54" i="26"/>
  <c r="T58" i="26"/>
  <c r="S42" i="28"/>
  <c r="S47" i="28"/>
  <c r="S56" i="28"/>
  <c r="R26" i="25"/>
  <c r="R31" i="25"/>
  <c r="R39" i="25"/>
  <c r="R42" i="25"/>
  <c r="R47" i="25"/>
  <c r="R56" i="25"/>
  <c r="V37" i="26"/>
  <c r="S58" i="28"/>
  <c r="U42" i="26"/>
  <c r="U47" i="26"/>
  <c r="U56" i="26"/>
  <c r="R58" i="25"/>
  <c r="W26" i="26"/>
  <c r="W31" i="26"/>
  <c r="W39" i="26"/>
  <c r="R54" i="25"/>
  <c r="S54" i="28"/>
  <c r="R37" i="25"/>
  <c r="U37" i="28"/>
  <c r="W37" i="26"/>
  <c r="U54" i="26"/>
  <c r="U58" i="26"/>
  <c r="V26" i="28"/>
  <c r="V31" i="28"/>
  <c r="V39" i="28"/>
  <c r="S26" i="25"/>
  <c r="S31" i="25"/>
  <c r="S39" i="25"/>
  <c r="T42" i="28"/>
  <c r="T47" i="28"/>
  <c r="T56" i="28"/>
  <c r="S42" i="25"/>
  <c r="S47" i="25"/>
  <c r="S56" i="25"/>
  <c r="S58" i="25"/>
  <c r="S37" i="25"/>
  <c r="S54" i="25"/>
  <c r="V42" i="26"/>
  <c r="V47" i="26"/>
  <c r="V56" i="26"/>
  <c r="T58" i="28"/>
  <c r="T54" i="28"/>
  <c r="V37" i="28"/>
  <c r="T42" i="25"/>
  <c r="T47" i="25"/>
  <c r="T56" i="25"/>
  <c r="W26" i="28"/>
  <c r="W31" i="28"/>
  <c r="W39" i="28"/>
  <c r="T26" i="25"/>
  <c r="T31" i="25"/>
  <c r="T39" i="25"/>
  <c r="T37" i="25"/>
  <c r="V58" i="26"/>
  <c r="U42" i="28"/>
  <c r="U47" i="28"/>
  <c r="U56" i="28"/>
  <c r="V54" i="26"/>
  <c r="W42" i="26"/>
  <c r="W47" i="26"/>
  <c r="W56" i="26"/>
  <c r="W58" i="26"/>
  <c r="W37" i="28"/>
  <c r="U58" i="28"/>
  <c r="T58" i="25"/>
  <c r="U26" i="25"/>
  <c r="U31" i="25"/>
  <c r="U39" i="25"/>
  <c r="U54" i="28"/>
  <c r="T54" i="25"/>
  <c r="U42" i="25"/>
  <c r="U47" i="25"/>
  <c r="U56" i="25"/>
  <c r="V42" i="28"/>
  <c r="V47" i="28"/>
  <c r="V56" i="28"/>
  <c r="U37" i="25"/>
  <c r="W54" i="26"/>
  <c r="V58" i="28"/>
  <c r="V54" i="28"/>
  <c r="V26" i="25"/>
  <c r="V31" i="25"/>
  <c r="V39" i="25"/>
  <c r="U54" i="25"/>
  <c r="U58" i="25"/>
  <c r="V37" i="25"/>
  <c r="W42" i="28"/>
  <c r="W47" i="28"/>
  <c r="W56" i="28"/>
  <c r="W58" i="28"/>
  <c r="V42" i="25"/>
  <c r="V47" i="25"/>
  <c r="V56" i="25"/>
  <c r="W54" i="28"/>
  <c r="V58" i="25"/>
  <c r="V54" i="25"/>
  <c r="W26" i="25"/>
  <c r="W31" i="25"/>
  <c r="W39" i="25"/>
  <c r="W42" i="25"/>
  <c r="W47" i="25"/>
  <c r="W56" i="25"/>
  <c r="W58" i="25"/>
  <c r="W37" i="25"/>
  <c r="W54" i="25"/>
  <c r="K54" i="1"/>
  <c r="O39" i="1"/>
  <c r="O40" i="1"/>
  <c r="O41" i="1"/>
  <c r="O42" i="1"/>
  <c r="L38" i="1"/>
  <c r="L44" i="1"/>
  <c r="L40" i="1"/>
  <c r="K27" i="1"/>
  <c r="L42" i="1"/>
  <c r="K24" i="1"/>
  <c r="L41" i="1"/>
  <c r="K18" i="1"/>
  <c r="L43" i="1"/>
  <c r="L39" i="1"/>
  <c r="L53" i="1"/>
  <c r="M41" i="1"/>
  <c r="K52" i="1"/>
  <c r="L52" i="1"/>
  <c r="K36" i="1"/>
  <c r="K26" i="1"/>
  <c r="K17" i="1"/>
  <c r="K37" i="1"/>
  <c r="K25" i="1"/>
  <c r="L51" i="1"/>
  <c r="N15" i="1"/>
  <c r="N14" i="1"/>
  <c r="N13" i="1"/>
  <c r="N12" i="1"/>
  <c r="N11" i="1"/>
  <c r="N10" i="1"/>
  <c r="N9" i="1"/>
  <c r="N8" i="1"/>
  <c r="N7" i="1"/>
  <c r="N6" i="1"/>
  <c r="M39" i="1"/>
  <c r="L50" i="1"/>
  <c r="L47" i="1"/>
  <c r="L48" i="1"/>
  <c r="L49" i="1"/>
  <c r="L45" i="1"/>
  <c r="K35" i="1"/>
  <c r="K28" i="1"/>
  <c r="K23" i="1"/>
  <c r="K19" i="1"/>
  <c r="K32" i="1"/>
  <c r="K31" i="1"/>
  <c r="O14" i="1"/>
  <c r="O13" i="1"/>
  <c r="O12" i="1"/>
  <c r="O11" i="1"/>
  <c r="O10" i="1"/>
  <c r="O9" i="1"/>
  <c r="O8" i="1"/>
  <c r="O7" i="1"/>
  <c r="O6" i="1"/>
  <c r="K34" i="1"/>
  <c r="K30" i="1"/>
  <c r="K22" i="1"/>
  <c r="K20" i="1"/>
  <c r="K29" i="1"/>
  <c r="M40" i="1"/>
  <c r="L46" i="1"/>
  <c r="K21" i="1"/>
  <c r="K33" i="1"/>
  <c r="M38" i="1"/>
  <c r="K48" i="1"/>
  <c r="K51" i="1"/>
  <c r="K53" i="1"/>
  <c r="K49" i="1"/>
  <c r="K47" i="1"/>
  <c r="K50" i="1"/>
  <c r="K46" i="1"/>
  <c r="K45" i="1"/>
  <c r="K44" i="1"/>
  <c r="K40" i="1"/>
  <c r="K42" i="1"/>
  <c r="K38" i="1"/>
  <c r="K41" i="1"/>
  <c r="K43" i="1"/>
  <c r="K39" i="1"/>
</calcChain>
</file>

<file path=xl/sharedStrings.xml><?xml version="1.0" encoding="utf-8"?>
<sst xmlns="http://schemas.openxmlformats.org/spreadsheetml/2006/main" count="781" uniqueCount="134">
  <si>
    <t>PLAINFIELD CONNECTOR</t>
  </si>
  <si>
    <t>Month</t>
  </si>
  <si>
    <t>One-way Trips</t>
  </si>
  <si>
    <t>Cost per ride</t>
  </si>
  <si>
    <t>Jun. 2013</t>
  </si>
  <si>
    <t>Jul. 2013</t>
  </si>
  <si>
    <t>Aug. 2013</t>
  </si>
  <si>
    <t>Sep. 2013</t>
  </si>
  <si>
    <t>Oct. 2013</t>
  </si>
  <si>
    <t>Nov. 2013</t>
  </si>
  <si>
    <t>Dec. 2013</t>
  </si>
  <si>
    <t>Jan. 2014</t>
  </si>
  <si>
    <t>Feb. 2014</t>
  </si>
  <si>
    <t>Mar. 2014</t>
  </si>
  <si>
    <t>Apr. 2014</t>
  </si>
  <si>
    <t>Jun.2014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</si>
  <si>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</si>
  <si>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</si>
  <si>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</si>
  <si>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</si>
  <si>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</si>
  <si>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</si>
  <si>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</si>
  <si>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</si>
  <si>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</si>
  <si>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</si>
  <si>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</si>
  <si>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</si>
  <si>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</si>
  <si>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>Income</t>
  </si>
  <si>
    <t>CMAQ</t>
  </si>
  <si>
    <t>Plainfield</t>
  </si>
  <si>
    <t>Expenses</t>
  </si>
  <si>
    <t>Service Contract</t>
  </si>
  <si>
    <t>Administration</t>
  </si>
  <si>
    <t>Public Relations</t>
  </si>
  <si>
    <t>Difference</t>
  </si>
  <si>
    <t>Operating Reserve</t>
  </si>
  <si>
    <t>Fares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</si>
  <si>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</si>
  <si>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</si>
  <si>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</si>
  <si>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</si>
  <si>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</si>
  <si>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</si>
  <si>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</si>
  <si>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</si>
  <si>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</si>
  <si>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</si>
  <si>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</si>
  <si>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Op. days</t>
  </si>
  <si>
    <t>FR ratio</t>
  </si>
  <si>
    <t>CMAQ Balance</t>
  </si>
  <si>
    <t>Town of Plainfield</t>
  </si>
  <si>
    <t>Q1</t>
  </si>
  <si>
    <t>Q2</t>
  </si>
  <si>
    <t>Q3</t>
  </si>
  <si>
    <t>Q4</t>
  </si>
  <si>
    <t>Total</t>
  </si>
  <si>
    <t>PMTF</t>
  </si>
  <si>
    <t>Indianapolis</t>
  </si>
  <si>
    <t>Option #1:</t>
  </si>
  <si>
    <t>$50K from City of Indianapolis</t>
  </si>
  <si>
    <t>$25K in PMTF</t>
  </si>
  <si>
    <t>$26K in diverted fares from N. Plainfield and Whitestown</t>
  </si>
  <si>
    <t>Additional $25K from Town of Plainfield</t>
  </si>
  <si>
    <t>per year</t>
  </si>
  <si>
    <t>Fare Income</t>
  </si>
  <si>
    <t/>
  </si>
  <si>
    <t>Ongoing subsidy</t>
  </si>
  <si>
    <t>Variation:</t>
  </si>
  <si>
    <t xml:space="preserve">Cut back number of runs: </t>
  </si>
  <si>
    <t>Annual savings per cut run</t>
  </si>
  <si>
    <t>(Savings will likely be lower because of decrease in fare collections)</t>
  </si>
  <si>
    <t>Option #2:</t>
  </si>
  <si>
    <t>cost reduction due to CIRTA ownership of buses</t>
  </si>
  <si>
    <t>Shortfall</t>
  </si>
  <si>
    <t>EOY 2016 deficit:</t>
  </si>
  <si>
    <t>Option #3:</t>
  </si>
  <si>
    <t>Economic Improvement District</t>
  </si>
  <si>
    <t>EID</t>
  </si>
  <si>
    <t>per $100 AV</t>
  </si>
  <si>
    <t>Option 2: Vehicle purchase (and cost reduction)</t>
  </si>
  <si>
    <t>Option 1: Additional Funding (Short-term?)</t>
  </si>
  <si>
    <t>Option 3: Economic Improvement District</t>
  </si>
  <si>
    <t>Existing Financial Projections (as of June 30, 2015)</t>
  </si>
  <si>
    <t>cost reduction due to Plainfield ownership of buses</t>
  </si>
  <si>
    <t>Option 2.5: Vehicle purchase with Subsidy</t>
  </si>
  <si>
    <t>Subsidy</t>
  </si>
  <si>
    <t>Monthly subsidy</t>
  </si>
  <si>
    <t>PMTF/Indy</t>
  </si>
  <si>
    <t>Local</t>
  </si>
  <si>
    <t>Invoice</t>
  </si>
  <si>
    <t>Local Split</t>
  </si>
  <si>
    <t>CMAQ Split</t>
  </si>
  <si>
    <t>Balances</t>
  </si>
  <si>
    <t>Net Invoice</t>
  </si>
  <si>
    <t>Left Over</t>
  </si>
  <si>
    <t>Option 1: Deduct Fares Before Split</t>
  </si>
  <si>
    <t>Option 2: Keep Fares in Operating Reserve</t>
  </si>
  <si>
    <t>Option 3: Refund Local Match</t>
  </si>
  <si>
    <t>Plainfield new</t>
  </si>
  <si>
    <t>Town of Plainfield (original commitment)</t>
  </si>
  <si>
    <t>Plainfield #2</t>
  </si>
  <si>
    <t>AV</t>
  </si>
  <si>
    <t>Revenue</t>
  </si>
  <si>
    <t>Rate</t>
  </si>
  <si>
    <t>Option 1: Additional Funding Version 2</t>
  </si>
  <si>
    <t>Plainfield service (Option 1, v2)</t>
  </si>
  <si>
    <t>TOTAL</t>
  </si>
  <si>
    <t>Contingency Reserve</t>
  </si>
  <si>
    <t>CMAQ #1</t>
  </si>
  <si>
    <t>North Plainfield Service</t>
  </si>
  <si>
    <t>Plainfield Contribution</t>
  </si>
  <si>
    <t>Quarter</t>
  </si>
  <si>
    <t>EID (proposed)</t>
  </si>
  <si>
    <t>Plainfield Balance</t>
  </si>
  <si>
    <t>Whitestown Service</t>
  </si>
  <si>
    <t>Amazon Balance</t>
  </si>
  <si>
    <t>per service hour</t>
  </si>
  <si>
    <t>Amazon Contribution</t>
  </si>
  <si>
    <t>Cash Balance</t>
  </si>
  <si>
    <t>Combined Cash Balance</t>
  </si>
  <si>
    <t xml:space="preserve"> </t>
  </si>
  <si>
    <t>PROPOSED</t>
  </si>
  <si>
    <t>EXISTING</t>
  </si>
  <si>
    <t>Indy</t>
  </si>
  <si>
    <t>Option 1: Additional Funding</t>
  </si>
  <si>
    <t>Contingency/Admin</t>
  </si>
  <si>
    <t>Whitestown</t>
  </si>
  <si>
    <t>12-month average</t>
  </si>
  <si>
    <t>PC 12-month</t>
  </si>
  <si>
    <t>South Pl</t>
  </si>
  <si>
    <t>North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</si>
</sst>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  <numFmt numFmtId="166" formatCode="_(* #,##0_);_(* \(#,##0\);_(* &quot;-&quot;??_);_(@_)"/>
    <numFmt numFmtId="167" formatCode="&quot;$&quot;#,##0.00"/>
    <numFmt numFmtId="168" formatCode="[$-409]mmm\-yy;@"/>
  </numFmts>
  <fonts count="16" x14ac:knownFonts="1"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sz val="20"/>
      <color theme="1"/>
      <name val="Arial Black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8" fontId="3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" fontId="0" fillId="0" borderId="0" xfId="0" applyNumberFormat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9" fontId="7" fillId="0" borderId="0" xfId="1" applyFont="1" applyBorder="1"/>
    <xf numFmtId="9" fontId="0" fillId="0" borderId="0" xfId="1" applyFont="1" applyBorder="1"/>
    <xf numFmtId="9" fontId="0" fillId="0" borderId="10" xfId="1" applyFont="1" applyBorder="1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9" fontId="7" fillId="0" borderId="15" xfId="1" applyFont="1" applyBorder="1"/>
    <xf numFmtId="0" fontId="0" fillId="0" borderId="9" xfId="0" applyBorder="1" applyAlignment="1">
      <alignment horizontal="center"/>
    </xf>
    <xf numFmtId="9" fontId="0" fillId="0" borderId="9" xfId="1" applyFont="1" applyBorder="1"/>
    <xf numFmtId="18" fontId="0" fillId="0" borderId="0" xfId="0" applyNumberFormat="1"/>
    <xf numFmtId="18" fontId="0" fillId="0" borderId="10" xfId="0" applyNumberFormat="1" applyBorder="1"/>
    <xf numFmtId="18" fontId="0" fillId="0" borderId="0" xfId="0" applyNumberFormat="1" applyBorder="1"/>
    <xf numFmtId="164" fontId="0" fillId="0" borderId="0" xfId="2" applyNumberFormat="1" applyFont="1"/>
    <xf numFmtId="164" fontId="0" fillId="0" borderId="0" xfId="0" applyNumberFormat="1"/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8" xfId="0" applyBorder="1"/>
    <xf numFmtId="164" fontId="0" fillId="0" borderId="0" xfId="2" applyNumberFormat="1" applyFont="1" applyBorder="1"/>
    <xf numFmtId="164" fontId="0" fillId="0" borderId="0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0" fillId="0" borderId="0" xfId="0" applyFill="1" applyBorder="1"/>
    <xf numFmtId="164" fontId="7" fillId="0" borderId="15" xfId="2" applyNumberFormat="1" applyFont="1" applyBorder="1"/>
    <xf numFmtId="164" fontId="7" fillId="0" borderId="0" xfId="2" applyNumberFormat="1" applyFont="1" applyBorder="1"/>
    <xf numFmtId="164" fontId="0" fillId="0" borderId="9" xfId="2" applyNumberFormat="1" applyFont="1" applyBorder="1"/>
    <xf numFmtId="164" fontId="0" fillId="0" borderId="10" xfId="2" applyNumberFormat="1" applyFont="1" applyBorder="1"/>
    <xf numFmtId="164" fontId="7" fillId="0" borderId="15" xfId="1" applyNumberFormat="1" applyFont="1" applyBorder="1"/>
    <xf numFmtId="164" fontId="7" fillId="0" borderId="0" xfId="1" applyNumberFormat="1" applyFont="1" applyBorder="1"/>
    <xf numFmtId="164" fontId="0" fillId="0" borderId="0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7" fillId="0" borderId="15" xfId="0" applyNumberFormat="1" applyFont="1" applyBorder="1"/>
    <xf numFmtId="164" fontId="7" fillId="0" borderId="0" xfId="0" applyNumberFormat="1" applyFont="1" applyBorder="1"/>
    <xf numFmtId="164" fontId="0" fillId="0" borderId="9" xfId="0" applyNumberFormat="1" applyBorder="1"/>
    <xf numFmtId="164" fontId="7" fillId="0" borderId="16" xfId="2" applyNumberFormat="1" applyFont="1" applyBorder="1"/>
    <xf numFmtId="164" fontId="7" fillId="0" borderId="12" xfId="2" applyNumberFormat="1" applyFont="1" applyBorder="1"/>
    <xf numFmtId="164" fontId="0" fillId="0" borderId="11" xfId="0" applyNumberFormat="1" applyBorder="1"/>
    <xf numFmtId="164" fontId="0" fillId="0" borderId="15" xfId="0" applyNumberFormat="1" applyBorder="1"/>
    <xf numFmtId="0" fontId="0" fillId="0" borderId="0" xfId="0" quotePrefix="1"/>
    <xf numFmtId="0" fontId="8" fillId="0" borderId="0" xfId="0" applyFont="1"/>
    <xf numFmtId="164" fontId="8" fillId="0" borderId="0" xfId="2" applyNumberFormat="1" applyFont="1"/>
    <xf numFmtId="0" fontId="8" fillId="0" borderId="9" xfId="0" applyFont="1" applyBorder="1"/>
    <xf numFmtId="0" fontId="8" fillId="0" borderId="0" xfId="0" applyFont="1" applyBorder="1"/>
    <xf numFmtId="0" fontId="8" fillId="0" borderId="15" xfId="0" applyFont="1" applyBorder="1" applyAlignment="1">
      <alignment horizontal="center"/>
    </xf>
    <xf numFmtId="0" fontId="0" fillId="0" borderId="0" xfId="0" applyFont="1"/>
    <xf numFmtId="9" fontId="0" fillId="0" borderId="0" xfId="0" applyNumberFormat="1" applyFont="1"/>
    <xf numFmtId="164" fontId="0" fillId="0" borderId="0" xfId="0" applyNumberFormat="1" applyFont="1"/>
    <xf numFmtId="164" fontId="0" fillId="0" borderId="11" xfId="2" applyNumberFormat="1" applyFont="1" applyBorder="1"/>
    <xf numFmtId="164" fontId="0" fillId="0" borderId="12" xfId="2" applyNumberFormat="1" applyFont="1" applyBorder="1"/>
    <xf numFmtId="164" fontId="0" fillId="0" borderId="13" xfId="2" applyNumberFormat="1" applyFon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Fill="1" applyBorder="1"/>
    <xf numFmtId="0" fontId="0" fillId="0" borderId="13" xfId="0" applyBorder="1"/>
    <xf numFmtId="164" fontId="9" fillId="0" borderId="9" xfId="1" applyNumberFormat="1" applyFont="1" applyBorder="1"/>
    <xf numFmtId="165" fontId="0" fillId="0" borderId="0" xfId="2" applyNumberFormat="1" applyFont="1"/>
    <xf numFmtId="0" fontId="11" fillId="0" borderId="0" xfId="0" applyFont="1"/>
    <xf numFmtId="0" fontId="12" fillId="0" borderId="0" xfId="0" applyFont="1"/>
    <xf numFmtId="6" fontId="0" fillId="0" borderId="0" xfId="0" applyNumberFormat="1"/>
    <xf numFmtId="0" fontId="10" fillId="0" borderId="0" xfId="0" applyFont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10" fillId="2" borderId="11" xfId="2" applyNumberFormat="1" applyFont="1" applyFill="1" applyBorder="1"/>
    <xf numFmtId="164" fontId="10" fillId="2" borderId="12" xfId="2" applyNumberFormat="1" applyFont="1" applyFill="1" applyBorder="1"/>
    <xf numFmtId="164" fontId="10" fillId="2" borderId="13" xfId="2" applyNumberFormat="1" applyFont="1" applyFill="1" applyBorder="1"/>
    <xf numFmtId="164" fontId="10" fillId="2" borderId="0" xfId="0" applyNumberFormat="1" applyFont="1" applyFill="1"/>
    <xf numFmtId="0" fontId="10" fillId="2" borderId="0" xfId="0" applyFont="1" applyFill="1"/>
    <xf numFmtId="166" fontId="0" fillId="0" borderId="0" xfId="3" applyNumberFormat="1" applyFont="1"/>
    <xf numFmtId="0" fontId="13" fillId="0" borderId="17" xfId="0" applyFont="1" applyBorder="1"/>
    <xf numFmtId="0" fontId="13" fillId="0" borderId="18" xfId="0" applyFont="1" applyBorder="1"/>
    <xf numFmtId="0" fontId="13" fillId="0" borderId="0" xfId="0" applyFont="1"/>
    <xf numFmtId="0" fontId="13" fillId="0" borderId="20" xfId="0" applyFont="1" applyBorder="1"/>
    <xf numFmtId="0" fontId="13" fillId="0" borderId="0" xfId="0" applyFont="1" applyBorder="1"/>
    <xf numFmtId="0" fontId="14" fillId="0" borderId="20" xfId="0" applyFont="1" applyBorder="1"/>
    <xf numFmtId="0" fontId="15" fillId="0" borderId="0" xfId="0" applyFont="1" applyBorder="1"/>
    <xf numFmtId="0" fontId="15" fillId="0" borderId="20" xfId="0" applyFont="1" applyBorder="1"/>
    <xf numFmtId="0" fontId="15" fillId="0" borderId="5" xfId="0" applyFont="1" applyBorder="1"/>
    <xf numFmtId="0" fontId="15" fillId="0" borderId="0" xfId="0" applyFont="1"/>
    <xf numFmtId="164" fontId="15" fillId="0" borderId="20" xfId="0" applyNumberFormat="1" applyFont="1" applyBorder="1"/>
    <xf numFmtId="164" fontId="15" fillId="0" borderId="0" xfId="0" applyNumberFormat="1" applyFont="1" applyBorder="1"/>
    <xf numFmtId="164" fontId="15" fillId="0" borderId="5" xfId="0" applyNumberFormat="1" applyFont="1" applyBorder="1"/>
    <xf numFmtId="9" fontId="15" fillId="0" borderId="20" xfId="1" applyFont="1" applyBorder="1"/>
    <xf numFmtId="9" fontId="15" fillId="0" borderId="0" xfId="1" applyFont="1" applyBorder="1"/>
    <xf numFmtId="9" fontId="15" fillId="0" borderId="5" xfId="1" applyFont="1" applyBorder="1"/>
    <xf numFmtId="164" fontId="15" fillId="0" borderId="0" xfId="2" applyNumberFormat="1" applyFont="1" applyBorder="1"/>
    <xf numFmtId="164" fontId="15" fillId="0" borderId="20" xfId="2" applyNumberFormat="1" applyFont="1" applyBorder="1"/>
    <xf numFmtId="164" fontId="15" fillId="0" borderId="5" xfId="2" applyNumberFormat="1" applyFont="1" applyBorder="1"/>
    <xf numFmtId="0" fontId="14" fillId="3" borderId="20" xfId="0" applyFont="1" applyFill="1" applyBorder="1"/>
    <xf numFmtId="0" fontId="14" fillId="3" borderId="0" xfId="0" applyFont="1" applyFill="1" applyBorder="1"/>
    <xf numFmtId="164" fontId="14" fillId="3" borderId="0" xfId="0" applyNumberFormat="1" applyFont="1" applyFill="1" applyBorder="1"/>
    <xf numFmtId="164" fontId="14" fillId="3" borderId="5" xfId="0" applyNumberFormat="1" applyFont="1" applyFill="1" applyBorder="1"/>
    <xf numFmtId="164" fontId="14" fillId="3" borderId="20" xfId="0" applyNumberFormat="1" applyFont="1" applyFill="1" applyBorder="1"/>
    <xf numFmtId="0" fontId="14" fillId="0" borderId="6" xfId="0" applyFont="1" applyBorder="1"/>
    <xf numFmtId="0" fontId="15" fillId="0" borderId="7" xfId="0" applyFont="1" applyBorder="1"/>
    <xf numFmtId="0" fontId="15" fillId="0" borderId="23" xfId="0" applyFont="1" applyBorder="1"/>
    <xf numFmtId="0" fontId="15" fillId="0" borderId="24" xfId="0" applyFont="1" applyBorder="1"/>
    <xf numFmtId="0" fontId="15" fillId="0" borderId="8" xfId="0" applyFont="1" applyBorder="1"/>
    <xf numFmtId="0" fontId="15" fillId="0" borderId="9" xfId="0" applyFont="1" applyBorder="1"/>
    <xf numFmtId="164" fontId="15" fillId="0" borderId="10" xfId="2" applyNumberFormat="1" applyFont="1" applyBorder="1"/>
    <xf numFmtId="9" fontId="15" fillId="0" borderId="10" xfId="1" applyFont="1" applyBorder="1"/>
    <xf numFmtId="164" fontId="15" fillId="0" borderId="10" xfId="0" applyNumberFormat="1" applyFont="1" applyBorder="1"/>
    <xf numFmtId="0" fontId="15" fillId="0" borderId="10" xfId="0" applyFont="1" applyBorder="1"/>
    <xf numFmtId="164" fontId="14" fillId="3" borderId="10" xfId="0" applyNumberFormat="1" applyFont="1" applyFill="1" applyBorder="1"/>
    <xf numFmtId="0" fontId="15" fillId="0" borderId="11" xfId="0" applyFont="1" applyBorder="1"/>
    <xf numFmtId="0" fontId="15" fillId="0" borderId="12" xfId="0" applyFont="1" applyBorder="1"/>
    <xf numFmtId="0" fontId="15" fillId="0" borderId="25" xfId="0" applyFont="1" applyBorder="1"/>
    <xf numFmtId="0" fontId="15" fillId="0" borderId="26" xfId="0" applyFont="1" applyBorder="1"/>
    <xf numFmtId="0" fontId="15" fillId="0" borderId="13" xfId="0" applyFont="1" applyBorder="1"/>
    <xf numFmtId="0" fontId="14" fillId="3" borderId="27" xfId="0" applyFont="1" applyFill="1" applyBorder="1"/>
    <xf numFmtId="0" fontId="14" fillId="3" borderId="28" xfId="0" applyFont="1" applyFill="1" applyBorder="1"/>
    <xf numFmtId="164" fontId="14" fillId="3" borderId="27" xfId="2" applyNumberFormat="1" applyFont="1" applyFill="1" applyBorder="1"/>
    <xf numFmtId="164" fontId="14" fillId="3" borderId="28" xfId="2" applyNumberFormat="1" applyFont="1" applyFill="1" applyBorder="1"/>
    <xf numFmtId="164" fontId="14" fillId="3" borderId="2" xfId="2" applyNumberFormat="1" applyFont="1" applyFill="1" applyBorder="1"/>
    <xf numFmtId="0" fontId="15" fillId="0" borderId="29" xfId="0" applyFont="1" applyBorder="1"/>
    <xf numFmtId="164" fontId="15" fillId="0" borderId="30" xfId="2" applyNumberFormat="1" applyFont="1" applyBorder="1"/>
    <xf numFmtId="9" fontId="15" fillId="0" borderId="30" xfId="1" applyFont="1" applyBorder="1"/>
    <xf numFmtId="164" fontId="15" fillId="0" borderId="30" xfId="0" applyNumberFormat="1" applyFont="1" applyBorder="1"/>
    <xf numFmtId="0" fontId="15" fillId="0" borderId="30" xfId="0" applyFont="1" applyBorder="1"/>
    <xf numFmtId="164" fontId="14" fillId="3" borderId="30" xfId="0" applyNumberFormat="1" applyFont="1" applyFill="1" applyBorder="1"/>
    <xf numFmtId="0" fontId="15" fillId="0" borderId="31" xfId="0" applyFont="1" applyBorder="1"/>
    <xf numFmtId="0" fontId="15" fillId="0" borderId="32" xfId="0" applyFont="1" applyBorder="1"/>
    <xf numFmtId="0" fontId="13" fillId="0" borderId="21" xfId="0" applyFont="1" applyBorder="1"/>
    <xf numFmtId="0" fontId="13" fillId="0" borderId="22" xfId="0" applyFont="1" applyBorder="1"/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6" xfId="0" applyFont="1" applyBorder="1"/>
    <xf numFmtId="0" fontId="13" fillId="0" borderId="37" xfId="0" applyFont="1" applyBorder="1"/>
    <xf numFmtId="0" fontId="13" fillId="0" borderId="38" xfId="0" applyFont="1" applyBorder="1"/>
    <xf numFmtId="44" fontId="15" fillId="0" borderId="0" xfId="2" applyFont="1"/>
    <xf numFmtId="164" fontId="15" fillId="4" borderId="0" xfId="0" applyNumberFormat="1" applyFont="1" applyFill="1" applyBorder="1"/>
    <xf numFmtId="164" fontId="15" fillId="4" borderId="20" xfId="0" applyNumberFormat="1" applyFont="1" applyFill="1" applyBorder="1"/>
    <xf numFmtId="164" fontId="15" fillId="4" borderId="5" xfId="0" applyNumberFormat="1" applyFont="1" applyFill="1" applyBorder="1"/>
    <xf numFmtId="164" fontId="15" fillId="4" borderId="30" xfId="2" applyNumberFormat="1" applyFont="1" applyFill="1" applyBorder="1"/>
    <xf numFmtId="164" fontId="15" fillId="4" borderId="10" xfId="2" applyNumberFormat="1" applyFont="1" applyFill="1" applyBorder="1"/>
    <xf numFmtId="164" fontId="15" fillId="4" borderId="5" xfId="2" applyNumberFormat="1" applyFont="1" applyFill="1" applyBorder="1"/>
    <xf numFmtId="0" fontId="14" fillId="0" borderId="23" xfId="0" applyFont="1" applyBorder="1"/>
    <xf numFmtId="166" fontId="3" fillId="0" borderId="0" xfId="3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8" fontId="3" fillId="0" borderId="1" xfId="0" applyNumberFormat="1" applyFont="1" applyBorder="1" applyAlignment="1">
      <alignment vertical="center"/>
    </xf>
    <xf numFmtId="17" fontId="0" fillId="0" borderId="1" xfId="0" applyNumberFormat="1" applyBorder="1"/>
    <xf numFmtId="0" fontId="3" fillId="0" borderId="1" xfId="0" applyFont="1" applyFill="1" applyBorder="1" applyAlignment="1">
      <alignment horizontal="right" vertical="center"/>
    </xf>
    <xf numFmtId="17" fontId="3" fillId="0" borderId="1" xfId="0" applyNumberFormat="1" applyFont="1" applyBorder="1" applyAlignment="1">
      <alignment vertical="center"/>
    </xf>
    <xf numFmtId="17" fontId="4" fillId="0" borderId="1" xfId="0" applyNumberFormat="1" applyFont="1" applyBorder="1" applyAlignment="1">
      <alignment horizontal="center" vertical="center"/>
    </xf>
    <xf numFmtId="167" fontId="0" fillId="0" borderId="1" xfId="2" applyNumberFormat="1" applyFont="1" applyBorder="1"/>
    <xf numFmtId="166" fontId="0" fillId="0" borderId="0" xfId="0" applyNumberFormat="1"/>
    <xf numFmtId="168" fontId="0" fillId="0" borderId="0" xfId="0" applyNumberFormat="1"/>
    <xf numFmtId="166" fontId="9" fillId="0" borderId="0" xfId="3" applyNumberFormat="1" applyFont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11.xml"/><Relationship Id="rId26" Type="http://schemas.openxmlformats.org/officeDocument/2006/relationships/worksheet" Target="worksheets/sheet19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14.xml"/><Relationship Id="rId7" Type="http://schemas.openxmlformats.org/officeDocument/2006/relationships/worksheet" Target="worksheets/sheet1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10.xml"/><Relationship Id="rId25" Type="http://schemas.openxmlformats.org/officeDocument/2006/relationships/worksheet" Target="worksheets/sheet18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9.xml"/><Relationship Id="rId20" Type="http://schemas.openxmlformats.org/officeDocument/2006/relationships/worksheet" Target="worksheets/sheet13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7.xml"/><Relationship Id="rId5" Type="http://schemas.openxmlformats.org/officeDocument/2006/relationships/chartsheet" Target="chartsheets/sheet5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6.xml"/><Relationship Id="rId28" Type="http://schemas.openxmlformats.org/officeDocument/2006/relationships/theme" Target="theme/theme1.xml"/><Relationship Id="rId10" Type="http://schemas.openxmlformats.org/officeDocument/2006/relationships/worksheet" Target="worksheets/sheet4.xml"/><Relationship Id="rId19" Type="http://schemas.openxmlformats.org/officeDocument/2006/relationships/worksheet" Target="worksheets/sheet12.xml"/><Relationship Id="rId31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5.xml"/><Relationship Id="rId27" Type="http://schemas.openxmlformats.org/officeDocument/2006/relationships/worksheet" Target="worksheets/sheet20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Plainfield Monthly Ridership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008536835170434E-2"/>
          <c:y val="8.4917193083821688E-2"/>
          <c:w val="0.93187878653667644"/>
          <c:h val="0.82618167164123135"/>
        </c:manualLayout>
      </c:layout>
      <c:scatterChart>
        <c:scatterStyle val="smoothMarker"/>
        <c:varyColors val="0"/>
        <c:ser>
          <c:idx val="1"/>
          <c:order val="0"/>
          <c:trendline>
            <c:spPr>
              <a:ln w="31750"/>
            </c:spPr>
            <c:trendlineType val="linear"/>
            <c:dispRSqr val="0"/>
            <c:dispEq val="0"/>
          </c:trendline>
          <c:xVal>
            <c:numRef>
              <c:f>Ridership!$G$36:$G$67</c:f>
              <c:numCache>
                <c:formatCode>mmm\-yy</c:formatCode>
                <c:ptCount val="32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  <c:pt idx="25">
                  <c:v>42948</c:v>
                </c:pt>
                <c:pt idx="26">
                  <c:v>42979</c:v>
                </c:pt>
                <c:pt idx="27">
                  <c:v>43009</c:v>
                </c:pt>
                <c:pt idx="28">
                  <c:v>43040</c:v>
                </c:pt>
                <c:pt idx="29">
                  <c:v>43070</c:v>
                </c:pt>
                <c:pt idx="30">
                  <c:v>43101</c:v>
                </c:pt>
                <c:pt idx="31">
                  <c:v>43132</c:v>
                </c:pt>
              </c:numCache>
            </c:numRef>
          </c:xVal>
          <c:yVal>
            <c:numRef>
              <c:f>Ridership!$I$36:$I$67</c:f>
              <c:numCache>
                <c:formatCode>_(* #,##0_);_(* \(#,##0\);_(* "-"??_);_(@_)</c:formatCode>
                <c:ptCount val="32"/>
                <c:pt idx="0">
                  <c:v>118</c:v>
                </c:pt>
                <c:pt idx="1">
                  <c:v>162</c:v>
                </c:pt>
                <c:pt idx="2">
                  <c:v>242</c:v>
                </c:pt>
                <c:pt idx="3">
                  <c:v>163</c:v>
                </c:pt>
                <c:pt idx="4">
                  <c:v>172</c:v>
                </c:pt>
                <c:pt idx="5">
                  <c:v>163</c:v>
                </c:pt>
                <c:pt idx="6">
                  <c:v>205</c:v>
                </c:pt>
                <c:pt idx="7">
                  <c:v>315</c:v>
                </c:pt>
                <c:pt idx="8">
                  <c:v>421</c:v>
                </c:pt>
                <c:pt idx="9">
                  <c:v>524</c:v>
                </c:pt>
                <c:pt idx="10">
                  <c:v>454</c:v>
                </c:pt>
                <c:pt idx="11">
                  <c:v>444</c:v>
                </c:pt>
                <c:pt idx="12">
                  <c:v>384</c:v>
                </c:pt>
                <c:pt idx="13">
                  <c:v>491.00000000000006</c:v>
                </c:pt>
                <c:pt idx="14">
                  <c:v>502</c:v>
                </c:pt>
                <c:pt idx="15">
                  <c:v>608</c:v>
                </c:pt>
                <c:pt idx="16">
                  <c:v>888</c:v>
                </c:pt>
                <c:pt idx="17">
                  <c:v>667</c:v>
                </c:pt>
                <c:pt idx="18">
                  <c:v>623</c:v>
                </c:pt>
                <c:pt idx="19">
                  <c:v>707</c:v>
                </c:pt>
                <c:pt idx="20">
                  <c:v>817</c:v>
                </c:pt>
                <c:pt idx="21">
                  <c:v>710</c:v>
                </c:pt>
                <c:pt idx="22">
                  <c:v>808</c:v>
                </c:pt>
                <c:pt idx="23">
                  <c:v>781</c:v>
                </c:pt>
                <c:pt idx="24">
                  <c:v>558</c:v>
                </c:pt>
                <c:pt idx="25">
                  <c:v>669</c:v>
                </c:pt>
                <c:pt idx="26">
                  <c:v>611</c:v>
                </c:pt>
                <c:pt idx="27">
                  <c:v>834</c:v>
                </c:pt>
                <c:pt idx="28">
                  <c:v>882</c:v>
                </c:pt>
                <c:pt idx="29">
                  <c:v>633</c:v>
                </c:pt>
                <c:pt idx="30">
                  <c:v>564</c:v>
                </c:pt>
                <c:pt idx="31">
                  <c:v>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99-8C42-A49E-0ACC768D5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758720"/>
        <c:axId val="409760512"/>
      </c:scatterChart>
      <c:valAx>
        <c:axId val="409758720"/>
        <c:scaling>
          <c:orientation val="minMax"/>
          <c:min val="42186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09760512"/>
        <c:crosses val="autoZero"/>
        <c:crossBetween val="midCat"/>
        <c:majorUnit val="29"/>
      </c:valAx>
      <c:valAx>
        <c:axId val="409760512"/>
        <c:scaling>
          <c:orientation val="minMax"/>
          <c:max val="1200"/>
          <c:min val="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09758720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South Plainfield Connector Ridership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Ridership!$H$5</c:f>
              <c:strCache>
                <c:ptCount val="1"/>
                <c:pt idx="0">
                  <c:v>South Pl</c:v>
                </c:pt>
              </c:strCache>
            </c:strRef>
          </c:tx>
          <c:cat>
            <c:numRef>
              <c:f>Ridership!$G$6:$G$67</c:f>
              <c:numCache>
                <c:formatCode>[$-409]mmm\-yy;@</c:formatCode>
                <c:ptCount val="6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 formatCode="mmm\-yy">
                  <c:v>41944</c:v>
                </c:pt>
                <c:pt idx="23" formatCode="mmm\-yy">
                  <c:v>41974</c:v>
                </c:pt>
                <c:pt idx="24" formatCode="mmm\-yy">
                  <c:v>42005</c:v>
                </c:pt>
                <c:pt idx="25" formatCode="mmm\-yy">
                  <c:v>42036</c:v>
                </c:pt>
                <c:pt idx="26" formatCode="mmm\-yy">
                  <c:v>42064</c:v>
                </c:pt>
                <c:pt idx="27" formatCode="mmm\-yy">
                  <c:v>42095</c:v>
                </c:pt>
                <c:pt idx="28" formatCode="mmm\-yy">
                  <c:v>42125</c:v>
                </c:pt>
                <c:pt idx="29" formatCode="mmm\-yy">
                  <c:v>42156</c:v>
                </c:pt>
                <c:pt idx="30" formatCode="mmm\-yy">
                  <c:v>42186</c:v>
                </c:pt>
                <c:pt idx="31" formatCode="mmm\-yy">
                  <c:v>42217</c:v>
                </c:pt>
                <c:pt idx="32" formatCode="mmm\-yy">
                  <c:v>42248</c:v>
                </c:pt>
                <c:pt idx="33" formatCode="mmm\-yy">
                  <c:v>42278</c:v>
                </c:pt>
                <c:pt idx="34" formatCode="mmm\-yy">
                  <c:v>42309</c:v>
                </c:pt>
                <c:pt idx="35" formatCode="mmm\-yy">
                  <c:v>42339</c:v>
                </c:pt>
                <c:pt idx="36" formatCode="mmm\-yy">
                  <c:v>42370</c:v>
                </c:pt>
                <c:pt idx="37" formatCode="mmm\-yy">
                  <c:v>42401</c:v>
                </c:pt>
                <c:pt idx="38" formatCode="mmm\-yy">
                  <c:v>42430</c:v>
                </c:pt>
                <c:pt idx="39" formatCode="mmm\-yy">
                  <c:v>42461</c:v>
                </c:pt>
                <c:pt idx="40" formatCode="mmm\-yy">
                  <c:v>42491</c:v>
                </c:pt>
                <c:pt idx="41" formatCode="mmm\-yy">
                  <c:v>42522</c:v>
                </c:pt>
                <c:pt idx="42" formatCode="mmm\-yy">
                  <c:v>42552</c:v>
                </c:pt>
                <c:pt idx="43" formatCode="mmm\-yy">
                  <c:v>42583</c:v>
                </c:pt>
                <c:pt idx="44" formatCode="mmm\-yy">
                  <c:v>42614</c:v>
                </c:pt>
                <c:pt idx="45" formatCode="mmm\-yy">
                  <c:v>42644</c:v>
                </c:pt>
                <c:pt idx="46" formatCode="mmm\-yy">
                  <c:v>42675</c:v>
                </c:pt>
                <c:pt idx="47" formatCode="mmm\-yy">
                  <c:v>42705</c:v>
                </c:pt>
                <c:pt idx="48" formatCode="mmm\-yy">
                  <c:v>42736</c:v>
                </c:pt>
                <c:pt idx="49" formatCode="mmm\-yy">
                  <c:v>42767</c:v>
                </c:pt>
                <c:pt idx="50" formatCode="mmm\-yy">
                  <c:v>42795</c:v>
                </c:pt>
                <c:pt idx="51" formatCode="mmm\-yy">
                  <c:v>42826</c:v>
                </c:pt>
                <c:pt idx="52" formatCode="mmm\-yy">
                  <c:v>42856</c:v>
                </c:pt>
                <c:pt idx="53" formatCode="mmm\-yy">
                  <c:v>42887</c:v>
                </c:pt>
                <c:pt idx="54" formatCode="mmm\-yy">
                  <c:v>42917</c:v>
                </c:pt>
                <c:pt idx="55" formatCode="mmm\-yy">
                  <c:v>42948</c:v>
                </c:pt>
                <c:pt idx="56" formatCode="mmm\-yy">
                  <c:v>42979</c:v>
                </c:pt>
                <c:pt idx="57" formatCode="mmm\-yy">
                  <c:v>43009</c:v>
                </c:pt>
                <c:pt idx="58" formatCode="mmm\-yy">
                  <c:v>43040</c:v>
                </c:pt>
                <c:pt idx="59" formatCode="mmm\-yy">
                  <c:v>43070</c:v>
                </c:pt>
                <c:pt idx="60" formatCode="mmm\-yy">
                  <c:v>43101</c:v>
                </c:pt>
                <c:pt idx="61" formatCode="mmm\-yy">
                  <c:v>43132</c:v>
                </c:pt>
              </c:numCache>
            </c:numRef>
          </c:cat>
          <c:val>
            <c:numRef>
              <c:f>Ridership!$H$6:$H$67</c:f>
              <c:numCache>
                <c:formatCode>_(* #,##0_);_(* \(#,##0\);_(* "-"??_);_(@_)</c:formatCode>
                <c:ptCount val="62"/>
                <c:pt idx="0">
                  <c:v>456</c:v>
                </c:pt>
                <c:pt idx="1">
                  <c:v>526</c:v>
                </c:pt>
                <c:pt idx="2">
                  <c:v>521</c:v>
                </c:pt>
                <c:pt idx="3">
                  <c:v>673</c:v>
                </c:pt>
                <c:pt idx="4">
                  <c:v>871</c:v>
                </c:pt>
                <c:pt idx="5">
                  <c:v>918</c:v>
                </c:pt>
                <c:pt idx="6">
                  <c:v>1153</c:v>
                </c:pt>
                <c:pt idx="7">
                  <c:v>1272</c:v>
                </c:pt>
                <c:pt idx="8">
                  <c:v>1415</c:v>
                </c:pt>
                <c:pt idx="9">
                  <c:v>1854</c:v>
                </c:pt>
                <c:pt idx="10">
                  <c:v>1977</c:v>
                </c:pt>
                <c:pt idx="11">
                  <c:v>2036</c:v>
                </c:pt>
                <c:pt idx="12">
                  <c:v>1200</c:v>
                </c:pt>
                <c:pt idx="13">
                  <c:v>1138</c:v>
                </c:pt>
                <c:pt idx="14">
                  <c:v>1065</c:v>
                </c:pt>
                <c:pt idx="15">
                  <c:v>1454</c:v>
                </c:pt>
                <c:pt idx="16">
                  <c:v>1424</c:v>
                </c:pt>
                <c:pt idx="17">
                  <c:v>1472</c:v>
                </c:pt>
                <c:pt idx="18">
                  <c:v>1540</c:v>
                </c:pt>
                <c:pt idx="19">
                  <c:v>1429</c:v>
                </c:pt>
                <c:pt idx="20">
                  <c:v>1579</c:v>
                </c:pt>
                <c:pt idx="21">
                  <c:v>1979</c:v>
                </c:pt>
                <c:pt idx="22">
                  <c:v>2274</c:v>
                </c:pt>
                <c:pt idx="23">
                  <c:v>2675</c:v>
                </c:pt>
                <c:pt idx="24">
                  <c:v>2016</c:v>
                </c:pt>
                <c:pt idx="25">
                  <c:v>1434</c:v>
                </c:pt>
                <c:pt idx="26">
                  <c:v>1446</c:v>
                </c:pt>
                <c:pt idx="27">
                  <c:v>1352</c:v>
                </c:pt>
                <c:pt idx="28">
                  <c:v>1291</c:v>
                </c:pt>
                <c:pt idx="29">
                  <c:v>1827</c:v>
                </c:pt>
                <c:pt idx="30">
                  <c:v>1528</c:v>
                </c:pt>
                <c:pt idx="31">
                  <c:v>1899</c:v>
                </c:pt>
                <c:pt idx="32">
                  <c:v>2914</c:v>
                </c:pt>
                <c:pt idx="33">
                  <c:v>3267</c:v>
                </c:pt>
                <c:pt idx="34">
                  <c:v>2845</c:v>
                </c:pt>
                <c:pt idx="35">
                  <c:v>2585</c:v>
                </c:pt>
                <c:pt idx="36">
                  <c:v>1763</c:v>
                </c:pt>
                <c:pt idx="37">
                  <c:v>1969.8</c:v>
                </c:pt>
                <c:pt idx="38">
                  <c:v>2293</c:v>
                </c:pt>
                <c:pt idx="39">
                  <c:v>2169</c:v>
                </c:pt>
                <c:pt idx="40">
                  <c:v>2434</c:v>
                </c:pt>
                <c:pt idx="41">
                  <c:v>2521</c:v>
                </c:pt>
                <c:pt idx="42">
                  <c:v>2330</c:v>
                </c:pt>
                <c:pt idx="43">
                  <c:v>2661</c:v>
                </c:pt>
                <c:pt idx="44">
                  <c:v>2501</c:v>
                </c:pt>
                <c:pt idx="45">
                  <c:v>2472</c:v>
                </c:pt>
                <c:pt idx="46">
                  <c:v>2488</c:v>
                </c:pt>
                <c:pt idx="47">
                  <c:v>2451</c:v>
                </c:pt>
                <c:pt idx="48">
                  <c:v>1900</c:v>
                </c:pt>
                <c:pt idx="49">
                  <c:v>1678</c:v>
                </c:pt>
                <c:pt idx="50">
                  <c:v>1880</c:v>
                </c:pt>
                <c:pt idx="51">
                  <c:v>1821</c:v>
                </c:pt>
                <c:pt idx="52">
                  <c:v>2176</c:v>
                </c:pt>
                <c:pt idx="53">
                  <c:v>2116</c:v>
                </c:pt>
                <c:pt idx="54">
                  <c:v>1809</c:v>
                </c:pt>
                <c:pt idx="55">
                  <c:v>2890</c:v>
                </c:pt>
                <c:pt idx="56">
                  <c:v>2353</c:v>
                </c:pt>
                <c:pt idx="57">
                  <c:v>2501</c:v>
                </c:pt>
                <c:pt idx="58">
                  <c:v>2554</c:v>
                </c:pt>
                <c:pt idx="59">
                  <c:v>2248</c:v>
                </c:pt>
                <c:pt idx="60">
                  <c:v>2184</c:v>
                </c:pt>
                <c:pt idx="61">
                  <c:v>1789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C-7543-B6B6-AFD4886AF660}"/>
            </c:ext>
          </c:extLst>
        </c:ser>
        <c:ser>
          <c:idx val="1"/>
          <c:order val="1"/>
          <c:tx>
            <c:strRef>
              <c:f>Ridership!$N$5</c:f>
              <c:strCache>
                <c:ptCount val="1"/>
                <c:pt idx="0">
                  <c:v>November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dPt>
            <c:idx val="10"/>
            <c:marker>
              <c:symbol val="auto"/>
            </c:marker>
            <c:bubble3D val="0"/>
            <c:extLst>
              <c:ext xmlns:c16="http://schemas.microsoft.com/office/drawing/2014/chart" uri="{C3380CC4-5D6E-409C-BE32-E72D297353CC}">
                <c16:uniqueId val="{00000001-851C-7543-B6B6-AFD4886AF660}"/>
              </c:ext>
            </c:extLst>
          </c:dPt>
          <c:dPt>
            <c:idx val="22"/>
            <c:marker>
              <c:symbol val="auto"/>
            </c:marker>
            <c:bubble3D val="0"/>
            <c:extLst>
              <c:ext xmlns:c16="http://schemas.microsoft.com/office/drawing/2014/chart" uri="{C3380CC4-5D6E-409C-BE32-E72D297353CC}">
                <c16:uniqueId val="{00000002-851C-7543-B6B6-AFD4886AF660}"/>
              </c:ext>
            </c:extLst>
          </c:dPt>
          <c:dPt>
            <c:idx val="34"/>
            <c:marker>
              <c:symbol val="auto"/>
            </c:marker>
            <c:bubble3D val="0"/>
            <c:extLst>
              <c:ext xmlns:c16="http://schemas.microsoft.com/office/drawing/2014/chart" uri="{C3380CC4-5D6E-409C-BE32-E72D297353CC}">
                <c16:uniqueId val="{00000003-851C-7543-B6B6-AFD4886AF660}"/>
              </c:ext>
            </c:extLst>
          </c:dPt>
          <c:cat>
            <c:numRef>
              <c:f>Ridership!$G$6:$G$67</c:f>
              <c:numCache>
                <c:formatCode>[$-409]mmm\-yy;@</c:formatCode>
                <c:ptCount val="6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 formatCode="mmm\-yy">
                  <c:v>41944</c:v>
                </c:pt>
                <c:pt idx="23" formatCode="mmm\-yy">
                  <c:v>41974</c:v>
                </c:pt>
                <c:pt idx="24" formatCode="mmm\-yy">
                  <c:v>42005</c:v>
                </c:pt>
                <c:pt idx="25" formatCode="mmm\-yy">
                  <c:v>42036</c:v>
                </c:pt>
                <c:pt idx="26" formatCode="mmm\-yy">
                  <c:v>42064</c:v>
                </c:pt>
                <c:pt idx="27" formatCode="mmm\-yy">
                  <c:v>42095</c:v>
                </c:pt>
                <c:pt idx="28" formatCode="mmm\-yy">
                  <c:v>42125</c:v>
                </c:pt>
                <c:pt idx="29" formatCode="mmm\-yy">
                  <c:v>42156</c:v>
                </c:pt>
                <c:pt idx="30" formatCode="mmm\-yy">
                  <c:v>42186</c:v>
                </c:pt>
                <c:pt idx="31" formatCode="mmm\-yy">
                  <c:v>42217</c:v>
                </c:pt>
                <c:pt idx="32" formatCode="mmm\-yy">
                  <c:v>42248</c:v>
                </c:pt>
                <c:pt idx="33" formatCode="mmm\-yy">
                  <c:v>42278</c:v>
                </c:pt>
                <c:pt idx="34" formatCode="mmm\-yy">
                  <c:v>42309</c:v>
                </c:pt>
                <c:pt idx="35" formatCode="mmm\-yy">
                  <c:v>42339</c:v>
                </c:pt>
                <c:pt idx="36" formatCode="mmm\-yy">
                  <c:v>42370</c:v>
                </c:pt>
                <c:pt idx="37" formatCode="mmm\-yy">
                  <c:v>42401</c:v>
                </c:pt>
                <c:pt idx="38" formatCode="mmm\-yy">
                  <c:v>42430</c:v>
                </c:pt>
                <c:pt idx="39" formatCode="mmm\-yy">
                  <c:v>42461</c:v>
                </c:pt>
                <c:pt idx="40" formatCode="mmm\-yy">
                  <c:v>42491</c:v>
                </c:pt>
                <c:pt idx="41" formatCode="mmm\-yy">
                  <c:v>42522</c:v>
                </c:pt>
                <c:pt idx="42" formatCode="mmm\-yy">
                  <c:v>42552</c:v>
                </c:pt>
                <c:pt idx="43" formatCode="mmm\-yy">
                  <c:v>42583</c:v>
                </c:pt>
                <c:pt idx="44" formatCode="mmm\-yy">
                  <c:v>42614</c:v>
                </c:pt>
                <c:pt idx="45" formatCode="mmm\-yy">
                  <c:v>42644</c:v>
                </c:pt>
                <c:pt idx="46" formatCode="mmm\-yy">
                  <c:v>42675</c:v>
                </c:pt>
                <c:pt idx="47" formatCode="mmm\-yy">
                  <c:v>42705</c:v>
                </c:pt>
                <c:pt idx="48" formatCode="mmm\-yy">
                  <c:v>42736</c:v>
                </c:pt>
                <c:pt idx="49" formatCode="mmm\-yy">
                  <c:v>42767</c:v>
                </c:pt>
                <c:pt idx="50" formatCode="mmm\-yy">
                  <c:v>42795</c:v>
                </c:pt>
                <c:pt idx="51" formatCode="mmm\-yy">
                  <c:v>42826</c:v>
                </c:pt>
                <c:pt idx="52" formatCode="mmm\-yy">
                  <c:v>42856</c:v>
                </c:pt>
                <c:pt idx="53" formatCode="mmm\-yy">
                  <c:v>42887</c:v>
                </c:pt>
                <c:pt idx="54" formatCode="mmm\-yy">
                  <c:v>42917</c:v>
                </c:pt>
                <c:pt idx="55" formatCode="mmm\-yy">
                  <c:v>42948</c:v>
                </c:pt>
                <c:pt idx="56" formatCode="mmm\-yy">
                  <c:v>42979</c:v>
                </c:pt>
                <c:pt idx="57" formatCode="mmm\-yy">
                  <c:v>43009</c:v>
                </c:pt>
                <c:pt idx="58" formatCode="mmm\-yy">
                  <c:v>43040</c:v>
                </c:pt>
                <c:pt idx="59" formatCode="mmm\-yy">
                  <c:v>43070</c:v>
                </c:pt>
                <c:pt idx="60" formatCode="mmm\-yy">
                  <c:v>43101</c:v>
                </c:pt>
                <c:pt idx="61" formatCode="mmm\-yy">
                  <c:v>43132</c:v>
                </c:pt>
              </c:numCache>
            </c:numRef>
          </c:cat>
          <c:val>
            <c:numRef>
              <c:f>Ridership!$N$6:$N$67</c:f>
            </c:numRef>
          </c:val>
          <c:smooth val="0"/>
          <c:extLst>
            <c:ext xmlns:c16="http://schemas.microsoft.com/office/drawing/2014/chart" uri="{C3380CC4-5D6E-409C-BE32-E72D297353CC}">
              <c16:uniqueId val="{00000004-851C-7543-B6B6-AFD4886AF660}"/>
            </c:ext>
          </c:extLst>
        </c:ser>
        <c:ser>
          <c:idx val="2"/>
          <c:order val="2"/>
          <c:tx>
            <c:strRef>
              <c:f>Ridership!$O$5</c:f>
              <c:strCache>
                <c:ptCount val="1"/>
                <c:pt idx="0">
                  <c:v>October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Pt>
            <c:idx val="9"/>
            <c:marker>
              <c:symbol val="auto"/>
            </c:marker>
            <c:bubble3D val="0"/>
            <c:extLst>
              <c:ext xmlns:c16="http://schemas.microsoft.com/office/drawing/2014/chart" uri="{C3380CC4-5D6E-409C-BE32-E72D297353CC}">
                <c16:uniqueId val="{00000005-851C-7543-B6B6-AFD4886AF660}"/>
              </c:ext>
            </c:extLst>
          </c:dPt>
          <c:dPt>
            <c:idx val="21"/>
            <c:marker>
              <c:symbol val="auto"/>
            </c:marker>
            <c:bubble3D val="0"/>
            <c:extLst>
              <c:ext xmlns:c16="http://schemas.microsoft.com/office/drawing/2014/chart" uri="{C3380CC4-5D6E-409C-BE32-E72D297353CC}">
                <c16:uniqueId val="{00000006-851C-7543-B6B6-AFD4886AF660}"/>
              </c:ext>
            </c:extLst>
          </c:dPt>
          <c:dPt>
            <c:idx val="33"/>
            <c:marker>
              <c:symbol val="auto"/>
            </c:marker>
            <c:bubble3D val="0"/>
            <c:extLst>
              <c:ext xmlns:c16="http://schemas.microsoft.com/office/drawing/2014/chart" uri="{C3380CC4-5D6E-409C-BE32-E72D297353CC}">
                <c16:uniqueId val="{00000007-851C-7543-B6B6-AFD4886AF660}"/>
              </c:ext>
            </c:extLst>
          </c:dPt>
          <c:cat>
            <c:numRef>
              <c:f>Ridership!$G$6:$G$67</c:f>
              <c:numCache>
                <c:formatCode>[$-409]mmm\-yy;@</c:formatCode>
                <c:ptCount val="6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 formatCode="mmm\-yy">
                  <c:v>41944</c:v>
                </c:pt>
                <c:pt idx="23" formatCode="mmm\-yy">
                  <c:v>41974</c:v>
                </c:pt>
                <c:pt idx="24" formatCode="mmm\-yy">
                  <c:v>42005</c:v>
                </c:pt>
                <c:pt idx="25" formatCode="mmm\-yy">
                  <c:v>42036</c:v>
                </c:pt>
                <c:pt idx="26" formatCode="mmm\-yy">
                  <c:v>42064</c:v>
                </c:pt>
                <c:pt idx="27" formatCode="mmm\-yy">
                  <c:v>42095</c:v>
                </c:pt>
                <c:pt idx="28" formatCode="mmm\-yy">
                  <c:v>42125</c:v>
                </c:pt>
                <c:pt idx="29" formatCode="mmm\-yy">
                  <c:v>42156</c:v>
                </c:pt>
                <c:pt idx="30" formatCode="mmm\-yy">
                  <c:v>42186</c:v>
                </c:pt>
                <c:pt idx="31" formatCode="mmm\-yy">
                  <c:v>42217</c:v>
                </c:pt>
                <c:pt idx="32" formatCode="mmm\-yy">
                  <c:v>42248</c:v>
                </c:pt>
                <c:pt idx="33" formatCode="mmm\-yy">
                  <c:v>42278</c:v>
                </c:pt>
                <c:pt idx="34" formatCode="mmm\-yy">
                  <c:v>42309</c:v>
                </c:pt>
                <c:pt idx="35" formatCode="mmm\-yy">
                  <c:v>42339</c:v>
                </c:pt>
                <c:pt idx="36" formatCode="mmm\-yy">
                  <c:v>42370</c:v>
                </c:pt>
                <c:pt idx="37" formatCode="mmm\-yy">
                  <c:v>42401</c:v>
                </c:pt>
                <c:pt idx="38" formatCode="mmm\-yy">
                  <c:v>42430</c:v>
                </c:pt>
                <c:pt idx="39" formatCode="mmm\-yy">
                  <c:v>42461</c:v>
                </c:pt>
                <c:pt idx="40" formatCode="mmm\-yy">
                  <c:v>42491</c:v>
                </c:pt>
                <c:pt idx="41" formatCode="mmm\-yy">
                  <c:v>42522</c:v>
                </c:pt>
                <c:pt idx="42" formatCode="mmm\-yy">
                  <c:v>42552</c:v>
                </c:pt>
                <c:pt idx="43" formatCode="mmm\-yy">
                  <c:v>42583</c:v>
                </c:pt>
                <c:pt idx="44" formatCode="mmm\-yy">
                  <c:v>42614</c:v>
                </c:pt>
                <c:pt idx="45" formatCode="mmm\-yy">
                  <c:v>42644</c:v>
                </c:pt>
                <c:pt idx="46" formatCode="mmm\-yy">
                  <c:v>42675</c:v>
                </c:pt>
                <c:pt idx="47" formatCode="mmm\-yy">
                  <c:v>42705</c:v>
                </c:pt>
                <c:pt idx="48" formatCode="mmm\-yy">
                  <c:v>42736</c:v>
                </c:pt>
                <c:pt idx="49" formatCode="mmm\-yy">
                  <c:v>42767</c:v>
                </c:pt>
                <c:pt idx="50" formatCode="mmm\-yy">
                  <c:v>42795</c:v>
                </c:pt>
                <c:pt idx="51" formatCode="mmm\-yy">
                  <c:v>42826</c:v>
                </c:pt>
                <c:pt idx="52" formatCode="mmm\-yy">
                  <c:v>42856</c:v>
                </c:pt>
                <c:pt idx="53" formatCode="mmm\-yy">
                  <c:v>42887</c:v>
                </c:pt>
                <c:pt idx="54" formatCode="mmm\-yy">
                  <c:v>42917</c:v>
                </c:pt>
                <c:pt idx="55" formatCode="mmm\-yy">
                  <c:v>42948</c:v>
                </c:pt>
                <c:pt idx="56" formatCode="mmm\-yy">
                  <c:v>42979</c:v>
                </c:pt>
                <c:pt idx="57" formatCode="mmm\-yy">
                  <c:v>43009</c:v>
                </c:pt>
                <c:pt idx="58" formatCode="mmm\-yy">
                  <c:v>43040</c:v>
                </c:pt>
                <c:pt idx="59" formatCode="mmm\-yy">
                  <c:v>43070</c:v>
                </c:pt>
                <c:pt idx="60" formatCode="mmm\-yy">
                  <c:v>43101</c:v>
                </c:pt>
                <c:pt idx="61" formatCode="mmm\-yy">
                  <c:v>43132</c:v>
                </c:pt>
              </c:numCache>
            </c:numRef>
          </c:cat>
          <c:val>
            <c:numRef>
              <c:f>Ridership!$O$6:$O$67</c:f>
            </c:numRef>
          </c:val>
          <c:smooth val="0"/>
          <c:extLst>
            <c:ext xmlns:c16="http://schemas.microsoft.com/office/drawing/2014/chart" uri="{C3380CC4-5D6E-409C-BE32-E72D297353CC}">
              <c16:uniqueId val="{00000008-851C-7543-B6B6-AFD4886AF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661440"/>
        <c:axId val="415663232"/>
      </c:lineChart>
      <c:dateAx>
        <c:axId val="41566144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415663232"/>
        <c:crosses val="autoZero"/>
        <c:auto val="1"/>
        <c:lblOffset val="100"/>
        <c:baseTimeUnit val="months"/>
      </c:dateAx>
      <c:valAx>
        <c:axId val="415663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trips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1566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803440085956554"/>
          <c:y val="8.9038112586133228E-2"/>
          <c:w val="0.21632647972171948"/>
          <c:h val="0.10947998995075968"/>
        </c:manualLayout>
      </c:layout>
      <c:overlay val="1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2013</c:v>
          </c:tx>
          <c:invertIfNegative val="0"/>
          <c:val>
            <c:numRef>
              <c:f>Ridership!#REF!</c:f>
              <c:numCache>
                <c:formatCode>_(* #,##0_);_(* \(#,##0\);_(* "-"??_);_(@_)</c:formatCode>
                <c:ptCount val="12"/>
                <c:pt idx="0">
                  <c:v>456</c:v>
                </c:pt>
                <c:pt idx="1">
                  <c:v>526</c:v>
                </c:pt>
                <c:pt idx="2">
                  <c:v>521</c:v>
                </c:pt>
                <c:pt idx="3">
                  <c:v>673</c:v>
                </c:pt>
                <c:pt idx="4">
                  <c:v>871</c:v>
                </c:pt>
                <c:pt idx="5">
                  <c:v>918</c:v>
                </c:pt>
                <c:pt idx="6">
                  <c:v>1153</c:v>
                </c:pt>
                <c:pt idx="7">
                  <c:v>1272</c:v>
                </c:pt>
                <c:pt idx="8">
                  <c:v>1415</c:v>
                </c:pt>
                <c:pt idx="9">
                  <c:v>1854</c:v>
                </c:pt>
                <c:pt idx="10">
                  <c:v>1977</c:v>
                </c:pt>
                <c:pt idx="11">
                  <c:v>2036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Ridership!#REF!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28E-3048-9AB5-3B27FBC6E459}"/>
            </c:ext>
          </c:extLst>
        </c:ser>
        <c:ser>
          <c:idx val="1"/>
          <c:order val="1"/>
          <c:tx>
            <c:v>2014</c:v>
          </c:tx>
          <c:invertIfNegative val="0"/>
          <c:val>
            <c:numRef>
              <c:f>Ridership!#REF!</c:f>
              <c:numCache>
                <c:formatCode>_(* #,##0_);_(* \(#,##0\);_(* "-"??_);_(@_)</c:formatCode>
                <c:ptCount val="12"/>
                <c:pt idx="0">
                  <c:v>1200</c:v>
                </c:pt>
                <c:pt idx="1">
                  <c:v>1138</c:v>
                </c:pt>
                <c:pt idx="2">
                  <c:v>1065</c:v>
                </c:pt>
                <c:pt idx="3">
                  <c:v>1454</c:v>
                </c:pt>
                <c:pt idx="4">
                  <c:v>1424</c:v>
                </c:pt>
                <c:pt idx="5">
                  <c:v>1472</c:v>
                </c:pt>
                <c:pt idx="6">
                  <c:v>1540</c:v>
                </c:pt>
                <c:pt idx="7">
                  <c:v>1429</c:v>
                </c:pt>
                <c:pt idx="8">
                  <c:v>1579</c:v>
                </c:pt>
                <c:pt idx="9">
                  <c:v>1979</c:v>
                </c:pt>
                <c:pt idx="10">
                  <c:v>2274</c:v>
                </c:pt>
                <c:pt idx="11">
                  <c:v>2675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Ridership!#REF!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28E-3048-9AB5-3B27FBC6E459}"/>
            </c:ext>
          </c:extLst>
        </c:ser>
        <c:ser>
          <c:idx val="2"/>
          <c:order val="2"/>
          <c:tx>
            <c:v>2015</c:v>
          </c:tx>
          <c:invertIfNegative val="0"/>
          <c:val>
            <c:numRef>
              <c:f>Ridership!#REF!</c:f>
              <c:numCache>
                <c:formatCode>_(* #,##0_);_(* \(#,##0\);_(* "-"??_);_(@_)</c:formatCode>
                <c:ptCount val="12"/>
                <c:pt idx="0">
                  <c:v>2016</c:v>
                </c:pt>
                <c:pt idx="1">
                  <c:v>1434</c:v>
                </c:pt>
                <c:pt idx="2">
                  <c:v>1446</c:v>
                </c:pt>
                <c:pt idx="3">
                  <c:v>1352</c:v>
                </c:pt>
                <c:pt idx="4">
                  <c:v>1291</c:v>
                </c:pt>
                <c:pt idx="5">
                  <c:v>1827</c:v>
                </c:pt>
                <c:pt idx="6">
                  <c:v>1649</c:v>
                </c:pt>
                <c:pt idx="7">
                  <c:v>2094</c:v>
                </c:pt>
                <c:pt idx="8">
                  <c:v>3234</c:v>
                </c:pt>
                <c:pt idx="9">
                  <c:v>3932</c:v>
                </c:pt>
                <c:pt idx="10">
                  <c:v>3977</c:v>
                </c:pt>
                <c:pt idx="11">
                  <c:v>3657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Ridership!#REF!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B28E-3048-9AB5-3B27FBC6E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686656"/>
        <c:axId val="415688192"/>
      </c:barChart>
      <c:catAx>
        <c:axId val="41568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5688192"/>
        <c:crosses val="autoZero"/>
        <c:auto val="1"/>
        <c:lblAlgn val="ctr"/>
        <c:lblOffset val="100"/>
        <c:noMultiLvlLbl val="1"/>
      </c:catAx>
      <c:valAx>
        <c:axId val="4156881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15686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Whitestown Monthly Ridership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089721657836412E-2"/>
          <c:y val="8.4917193083821688E-2"/>
          <c:w val="0.92079760171401048"/>
          <c:h val="0.82416356044394001"/>
        </c:manualLayout>
      </c:layout>
      <c:scatterChart>
        <c:scatterStyle val="smoothMarker"/>
        <c:varyColors val="0"/>
        <c:ser>
          <c:idx val="2"/>
          <c:order val="0"/>
          <c:trendline>
            <c:spPr>
              <a:ln w="31750"/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xVal>
            <c:numRef>
              <c:f>Ridership!$G$36:$G$67</c:f>
              <c:numCache>
                <c:formatCode>mmm\-yy</c:formatCode>
                <c:ptCount val="32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  <c:pt idx="13">
                  <c:v>42583</c:v>
                </c:pt>
                <c:pt idx="14">
                  <c:v>42614</c:v>
                </c:pt>
                <c:pt idx="15">
                  <c:v>42644</c:v>
                </c:pt>
                <c:pt idx="16">
                  <c:v>42675</c:v>
                </c:pt>
                <c:pt idx="17">
                  <c:v>42705</c:v>
                </c:pt>
                <c:pt idx="18">
                  <c:v>42736</c:v>
                </c:pt>
                <c:pt idx="19">
                  <c:v>42767</c:v>
                </c:pt>
                <c:pt idx="20">
                  <c:v>42795</c:v>
                </c:pt>
                <c:pt idx="21">
                  <c:v>42826</c:v>
                </c:pt>
                <c:pt idx="22">
                  <c:v>42856</c:v>
                </c:pt>
                <c:pt idx="23">
                  <c:v>42887</c:v>
                </c:pt>
                <c:pt idx="24">
                  <c:v>42917</c:v>
                </c:pt>
                <c:pt idx="25">
                  <c:v>42948</c:v>
                </c:pt>
                <c:pt idx="26">
                  <c:v>42979</c:v>
                </c:pt>
                <c:pt idx="27">
                  <c:v>43009</c:v>
                </c:pt>
                <c:pt idx="28">
                  <c:v>43040</c:v>
                </c:pt>
                <c:pt idx="29">
                  <c:v>43070</c:v>
                </c:pt>
                <c:pt idx="30">
                  <c:v>43101</c:v>
                </c:pt>
                <c:pt idx="31">
                  <c:v>43132</c:v>
                </c:pt>
              </c:numCache>
            </c:numRef>
          </c:xVal>
          <c:yVal>
            <c:numRef>
              <c:f>Ridership!$J$36:$J$67</c:f>
              <c:numCache>
                <c:formatCode>_(* #,##0_);_(* \(#,##0\);_(* "-"??_);_(@_)</c:formatCode>
                <c:ptCount val="32"/>
                <c:pt idx="0">
                  <c:v>3</c:v>
                </c:pt>
                <c:pt idx="1">
                  <c:v>33</c:v>
                </c:pt>
                <c:pt idx="2">
                  <c:v>78</c:v>
                </c:pt>
                <c:pt idx="3">
                  <c:v>502</c:v>
                </c:pt>
                <c:pt idx="4">
                  <c:v>960</c:v>
                </c:pt>
                <c:pt idx="5">
                  <c:v>909</c:v>
                </c:pt>
                <c:pt idx="6">
                  <c:v>855</c:v>
                </c:pt>
                <c:pt idx="7">
                  <c:v>567</c:v>
                </c:pt>
                <c:pt idx="8">
                  <c:v>478.73076923076923</c:v>
                </c:pt>
                <c:pt idx="9">
                  <c:v>495.00000000000006</c:v>
                </c:pt>
                <c:pt idx="10">
                  <c:v>605</c:v>
                </c:pt>
                <c:pt idx="11">
                  <c:v>659</c:v>
                </c:pt>
                <c:pt idx="12">
                  <c:v>720</c:v>
                </c:pt>
                <c:pt idx="13">
                  <c:v>901</c:v>
                </c:pt>
                <c:pt idx="14">
                  <c:v>672</c:v>
                </c:pt>
                <c:pt idx="15">
                  <c:v>1031</c:v>
                </c:pt>
                <c:pt idx="16">
                  <c:v>1179</c:v>
                </c:pt>
                <c:pt idx="17">
                  <c:v>719</c:v>
                </c:pt>
                <c:pt idx="18">
                  <c:v>583</c:v>
                </c:pt>
                <c:pt idx="19">
                  <c:v>352</c:v>
                </c:pt>
                <c:pt idx="20">
                  <c:v>372</c:v>
                </c:pt>
                <c:pt idx="21">
                  <c:v>254</c:v>
                </c:pt>
                <c:pt idx="22">
                  <c:v>329</c:v>
                </c:pt>
                <c:pt idx="23">
                  <c:v>517</c:v>
                </c:pt>
                <c:pt idx="24">
                  <c:v>614</c:v>
                </c:pt>
                <c:pt idx="25">
                  <c:v>856</c:v>
                </c:pt>
                <c:pt idx="26">
                  <c:v>815</c:v>
                </c:pt>
                <c:pt idx="27">
                  <c:v>838</c:v>
                </c:pt>
                <c:pt idx="28">
                  <c:v>1462</c:v>
                </c:pt>
                <c:pt idx="29">
                  <c:v>1733</c:v>
                </c:pt>
                <c:pt idx="30">
                  <c:v>857</c:v>
                </c:pt>
                <c:pt idx="31">
                  <c:v>604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E3-A14D-BF31-1FE3A972F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079040"/>
        <c:axId val="433080576"/>
      </c:scatterChart>
      <c:valAx>
        <c:axId val="433079040"/>
        <c:scaling>
          <c:orientation val="minMax"/>
          <c:min val="42186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33080576"/>
        <c:crosses val="autoZero"/>
        <c:crossBetween val="midCat"/>
        <c:majorUnit val="31"/>
      </c:valAx>
      <c:valAx>
        <c:axId val="433080576"/>
        <c:scaling>
          <c:orientation val="minMax"/>
          <c:min val="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33079040"/>
        <c:crosses val="autoZero"/>
        <c:crossBetween val="midCat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Ridership!$H$5</c:f>
              <c:strCache>
                <c:ptCount val="1"/>
                <c:pt idx="0">
                  <c:v>South Pl</c:v>
                </c:pt>
              </c:strCache>
            </c:strRef>
          </c:tx>
          <c:cat>
            <c:numRef>
              <c:f>Ridership!$G$6:$G$67</c:f>
              <c:numCache>
                <c:formatCode>[$-409]mmm\-yy;@</c:formatCode>
                <c:ptCount val="6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 formatCode="mmm\-yy">
                  <c:v>41944</c:v>
                </c:pt>
                <c:pt idx="23" formatCode="mmm\-yy">
                  <c:v>41974</c:v>
                </c:pt>
                <c:pt idx="24" formatCode="mmm\-yy">
                  <c:v>42005</c:v>
                </c:pt>
                <c:pt idx="25" formatCode="mmm\-yy">
                  <c:v>42036</c:v>
                </c:pt>
                <c:pt idx="26" formatCode="mmm\-yy">
                  <c:v>42064</c:v>
                </c:pt>
                <c:pt idx="27" formatCode="mmm\-yy">
                  <c:v>42095</c:v>
                </c:pt>
                <c:pt idx="28" formatCode="mmm\-yy">
                  <c:v>42125</c:v>
                </c:pt>
                <c:pt idx="29" formatCode="mmm\-yy">
                  <c:v>42156</c:v>
                </c:pt>
                <c:pt idx="30" formatCode="mmm\-yy">
                  <c:v>42186</c:v>
                </c:pt>
                <c:pt idx="31" formatCode="mmm\-yy">
                  <c:v>42217</c:v>
                </c:pt>
                <c:pt idx="32" formatCode="mmm\-yy">
                  <c:v>42248</c:v>
                </c:pt>
                <c:pt idx="33" formatCode="mmm\-yy">
                  <c:v>42278</c:v>
                </c:pt>
                <c:pt idx="34" formatCode="mmm\-yy">
                  <c:v>42309</c:v>
                </c:pt>
                <c:pt idx="35" formatCode="mmm\-yy">
                  <c:v>42339</c:v>
                </c:pt>
                <c:pt idx="36" formatCode="mmm\-yy">
                  <c:v>42370</c:v>
                </c:pt>
                <c:pt idx="37" formatCode="mmm\-yy">
                  <c:v>42401</c:v>
                </c:pt>
                <c:pt idx="38" formatCode="mmm\-yy">
                  <c:v>42430</c:v>
                </c:pt>
                <c:pt idx="39" formatCode="mmm\-yy">
                  <c:v>42461</c:v>
                </c:pt>
                <c:pt idx="40" formatCode="mmm\-yy">
                  <c:v>42491</c:v>
                </c:pt>
                <c:pt idx="41" formatCode="mmm\-yy">
                  <c:v>42522</c:v>
                </c:pt>
                <c:pt idx="42" formatCode="mmm\-yy">
                  <c:v>42552</c:v>
                </c:pt>
                <c:pt idx="43" formatCode="mmm\-yy">
                  <c:v>42583</c:v>
                </c:pt>
                <c:pt idx="44" formatCode="mmm\-yy">
                  <c:v>42614</c:v>
                </c:pt>
                <c:pt idx="45" formatCode="mmm\-yy">
                  <c:v>42644</c:v>
                </c:pt>
                <c:pt idx="46" formatCode="mmm\-yy">
                  <c:v>42675</c:v>
                </c:pt>
                <c:pt idx="47" formatCode="mmm\-yy">
                  <c:v>42705</c:v>
                </c:pt>
                <c:pt idx="48" formatCode="mmm\-yy">
                  <c:v>42736</c:v>
                </c:pt>
                <c:pt idx="49" formatCode="mmm\-yy">
                  <c:v>42767</c:v>
                </c:pt>
                <c:pt idx="50" formatCode="mmm\-yy">
                  <c:v>42795</c:v>
                </c:pt>
                <c:pt idx="51" formatCode="mmm\-yy">
                  <c:v>42826</c:v>
                </c:pt>
                <c:pt idx="52" formatCode="mmm\-yy">
                  <c:v>42856</c:v>
                </c:pt>
                <c:pt idx="53" formatCode="mmm\-yy">
                  <c:v>42887</c:v>
                </c:pt>
                <c:pt idx="54" formatCode="mmm\-yy">
                  <c:v>42917</c:v>
                </c:pt>
                <c:pt idx="55" formatCode="mmm\-yy">
                  <c:v>42948</c:v>
                </c:pt>
                <c:pt idx="56" formatCode="mmm\-yy">
                  <c:v>42979</c:v>
                </c:pt>
                <c:pt idx="57" formatCode="mmm\-yy">
                  <c:v>43009</c:v>
                </c:pt>
                <c:pt idx="58" formatCode="mmm\-yy">
                  <c:v>43040</c:v>
                </c:pt>
                <c:pt idx="59" formatCode="mmm\-yy">
                  <c:v>43070</c:v>
                </c:pt>
                <c:pt idx="60" formatCode="mmm\-yy">
                  <c:v>43101</c:v>
                </c:pt>
                <c:pt idx="61" formatCode="mmm\-yy">
                  <c:v>43132</c:v>
                </c:pt>
              </c:numCache>
            </c:numRef>
          </c:cat>
          <c:val>
            <c:numRef>
              <c:f>Ridership!$H$6:$H$67</c:f>
              <c:numCache>
                <c:formatCode>_(* #,##0_);_(* \(#,##0\);_(* "-"??_);_(@_)</c:formatCode>
                <c:ptCount val="62"/>
                <c:pt idx="0">
                  <c:v>456</c:v>
                </c:pt>
                <c:pt idx="1">
                  <c:v>526</c:v>
                </c:pt>
                <c:pt idx="2">
                  <c:v>521</c:v>
                </c:pt>
                <c:pt idx="3">
                  <c:v>673</c:v>
                </c:pt>
                <c:pt idx="4">
                  <c:v>871</c:v>
                </c:pt>
                <c:pt idx="5">
                  <c:v>918</c:v>
                </c:pt>
                <c:pt idx="6">
                  <c:v>1153</c:v>
                </c:pt>
                <c:pt idx="7">
                  <c:v>1272</c:v>
                </c:pt>
                <c:pt idx="8">
                  <c:v>1415</c:v>
                </c:pt>
                <c:pt idx="9">
                  <c:v>1854</c:v>
                </c:pt>
                <c:pt idx="10">
                  <c:v>1977</c:v>
                </c:pt>
                <c:pt idx="11">
                  <c:v>2036</c:v>
                </c:pt>
                <c:pt idx="12">
                  <c:v>1200</c:v>
                </c:pt>
                <c:pt idx="13">
                  <c:v>1138</c:v>
                </c:pt>
                <c:pt idx="14">
                  <c:v>1065</c:v>
                </c:pt>
                <c:pt idx="15">
                  <c:v>1454</c:v>
                </c:pt>
                <c:pt idx="16">
                  <c:v>1424</c:v>
                </c:pt>
                <c:pt idx="17">
                  <c:v>1472</c:v>
                </c:pt>
                <c:pt idx="18">
                  <c:v>1540</c:v>
                </c:pt>
                <c:pt idx="19">
                  <c:v>1429</c:v>
                </c:pt>
                <c:pt idx="20">
                  <c:v>1579</c:v>
                </c:pt>
                <c:pt idx="21">
                  <c:v>1979</c:v>
                </c:pt>
                <c:pt idx="22">
                  <c:v>2274</c:v>
                </c:pt>
                <c:pt idx="23">
                  <c:v>2675</c:v>
                </c:pt>
                <c:pt idx="24">
                  <c:v>2016</c:v>
                </c:pt>
                <c:pt idx="25">
                  <c:v>1434</c:v>
                </c:pt>
                <c:pt idx="26">
                  <c:v>1446</c:v>
                </c:pt>
                <c:pt idx="27">
                  <c:v>1352</c:v>
                </c:pt>
                <c:pt idx="28">
                  <c:v>1291</c:v>
                </c:pt>
                <c:pt idx="29">
                  <c:v>1827</c:v>
                </c:pt>
                <c:pt idx="30">
                  <c:v>1528</c:v>
                </c:pt>
                <c:pt idx="31">
                  <c:v>1899</c:v>
                </c:pt>
                <c:pt idx="32">
                  <c:v>2914</c:v>
                </c:pt>
                <c:pt idx="33">
                  <c:v>3267</c:v>
                </c:pt>
                <c:pt idx="34">
                  <c:v>2845</c:v>
                </c:pt>
                <c:pt idx="35">
                  <c:v>2585</c:v>
                </c:pt>
                <c:pt idx="36">
                  <c:v>1763</c:v>
                </c:pt>
                <c:pt idx="37">
                  <c:v>1969.8</c:v>
                </c:pt>
                <c:pt idx="38">
                  <c:v>2293</c:v>
                </c:pt>
                <c:pt idx="39">
                  <c:v>2169</c:v>
                </c:pt>
                <c:pt idx="40">
                  <c:v>2434</c:v>
                </c:pt>
                <c:pt idx="41">
                  <c:v>2521</c:v>
                </c:pt>
                <c:pt idx="42">
                  <c:v>2330</c:v>
                </c:pt>
                <c:pt idx="43">
                  <c:v>2661</c:v>
                </c:pt>
                <c:pt idx="44">
                  <c:v>2501</c:v>
                </c:pt>
                <c:pt idx="45">
                  <c:v>2472</c:v>
                </c:pt>
                <c:pt idx="46">
                  <c:v>2488</c:v>
                </c:pt>
                <c:pt idx="47">
                  <c:v>2451</c:v>
                </c:pt>
                <c:pt idx="48">
                  <c:v>1900</c:v>
                </c:pt>
                <c:pt idx="49">
                  <c:v>1678</c:v>
                </c:pt>
                <c:pt idx="50">
                  <c:v>1880</c:v>
                </c:pt>
                <c:pt idx="51">
                  <c:v>1821</c:v>
                </c:pt>
                <c:pt idx="52">
                  <c:v>2176</c:v>
                </c:pt>
                <c:pt idx="53">
                  <c:v>2116</c:v>
                </c:pt>
                <c:pt idx="54">
                  <c:v>1809</c:v>
                </c:pt>
                <c:pt idx="55">
                  <c:v>2890</c:v>
                </c:pt>
                <c:pt idx="56">
                  <c:v>2353</c:v>
                </c:pt>
                <c:pt idx="57">
                  <c:v>2501</c:v>
                </c:pt>
                <c:pt idx="58">
                  <c:v>2554</c:v>
                </c:pt>
                <c:pt idx="59">
                  <c:v>2248</c:v>
                </c:pt>
                <c:pt idx="60">
                  <c:v>2184</c:v>
                </c:pt>
                <c:pt idx="61">
                  <c:v>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B-FD43-ADB5-ADF0E13D6EF4}"/>
            </c:ext>
          </c:extLst>
        </c:ser>
        <c:ser>
          <c:idx val="1"/>
          <c:order val="1"/>
          <c:tx>
            <c:strRef>
              <c:f>Ridership!$I$5</c:f>
              <c:strCache>
                <c:ptCount val="1"/>
                <c:pt idx="0">
                  <c:v>North Pl</c:v>
                </c:pt>
              </c:strCache>
            </c:strRef>
          </c:tx>
          <c:cat>
            <c:numRef>
              <c:f>Ridership!$G$6:$G$67</c:f>
              <c:numCache>
                <c:formatCode>[$-409]mmm\-yy;@</c:formatCode>
                <c:ptCount val="6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 formatCode="mmm\-yy">
                  <c:v>41944</c:v>
                </c:pt>
                <c:pt idx="23" formatCode="mmm\-yy">
                  <c:v>41974</c:v>
                </c:pt>
                <c:pt idx="24" formatCode="mmm\-yy">
                  <c:v>42005</c:v>
                </c:pt>
                <c:pt idx="25" formatCode="mmm\-yy">
                  <c:v>42036</c:v>
                </c:pt>
                <c:pt idx="26" formatCode="mmm\-yy">
                  <c:v>42064</c:v>
                </c:pt>
                <c:pt idx="27" formatCode="mmm\-yy">
                  <c:v>42095</c:v>
                </c:pt>
                <c:pt idx="28" formatCode="mmm\-yy">
                  <c:v>42125</c:v>
                </c:pt>
                <c:pt idx="29" formatCode="mmm\-yy">
                  <c:v>42156</c:v>
                </c:pt>
                <c:pt idx="30" formatCode="mmm\-yy">
                  <c:v>42186</c:v>
                </c:pt>
                <c:pt idx="31" formatCode="mmm\-yy">
                  <c:v>42217</c:v>
                </c:pt>
                <c:pt idx="32" formatCode="mmm\-yy">
                  <c:v>42248</c:v>
                </c:pt>
                <c:pt idx="33" formatCode="mmm\-yy">
                  <c:v>42278</c:v>
                </c:pt>
                <c:pt idx="34" formatCode="mmm\-yy">
                  <c:v>42309</c:v>
                </c:pt>
                <c:pt idx="35" formatCode="mmm\-yy">
                  <c:v>42339</c:v>
                </c:pt>
                <c:pt idx="36" formatCode="mmm\-yy">
                  <c:v>42370</c:v>
                </c:pt>
                <c:pt idx="37" formatCode="mmm\-yy">
                  <c:v>42401</c:v>
                </c:pt>
                <c:pt idx="38" formatCode="mmm\-yy">
                  <c:v>42430</c:v>
                </c:pt>
                <c:pt idx="39" formatCode="mmm\-yy">
                  <c:v>42461</c:v>
                </c:pt>
                <c:pt idx="40" formatCode="mmm\-yy">
                  <c:v>42491</c:v>
                </c:pt>
                <c:pt idx="41" formatCode="mmm\-yy">
                  <c:v>42522</c:v>
                </c:pt>
                <c:pt idx="42" formatCode="mmm\-yy">
                  <c:v>42552</c:v>
                </c:pt>
                <c:pt idx="43" formatCode="mmm\-yy">
                  <c:v>42583</c:v>
                </c:pt>
                <c:pt idx="44" formatCode="mmm\-yy">
                  <c:v>42614</c:v>
                </c:pt>
                <c:pt idx="45" formatCode="mmm\-yy">
                  <c:v>42644</c:v>
                </c:pt>
                <c:pt idx="46" formatCode="mmm\-yy">
                  <c:v>42675</c:v>
                </c:pt>
                <c:pt idx="47" formatCode="mmm\-yy">
                  <c:v>42705</c:v>
                </c:pt>
                <c:pt idx="48" formatCode="mmm\-yy">
                  <c:v>42736</c:v>
                </c:pt>
                <c:pt idx="49" formatCode="mmm\-yy">
                  <c:v>42767</c:v>
                </c:pt>
                <c:pt idx="50" formatCode="mmm\-yy">
                  <c:v>42795</c:v>
                </c:pt>
                <c:pt idx="51" formatCode="mmm\-yy">
                  <c:v>42826</c:v>
                </c:pt>
                <c:pt idx="52" formatCode="mmm\-yy">
                  <c:v>42856</c:v>
                </c:pt>
                <c:pt idx="53" formatCode="mmm\-yy">
                  <c:v>42887</c:v>
                </c:pt>
                <c:pt idx="54" formatCode="mmm\-yy">
                  <c:v>42917</c:v>
                </c:pt>
                <c:pt idx="55" formatCode="mmm\-yy">
                  <c:v>42948</c:v>
                </c:pt>
                <c:pt idx="56" formatCode="mmm\-yy">
                  <c:v>42979</c:v>
                </c:pt>
                <c:pt idx="57" formatCode="mmm\-yy">
                  <c:v>43009</c:v>
                </c:pt>
                <c:pt idx="58" formatCode="mmm\-yy">
                  <c:v>43040</c:v>
                </c:pt>
                <c:pt idx="59" formatCode="mmm\-yy">
                  <c:v>43070</c:v>
                </c:pt>
                <c:pt idx="60" formatCode="mmm\-yy">
                  <c:v>43101</c:v>
                </c:pt>
                <c:pt idx="61" formatCode="mmm\-yy">
                  <c:v>43132</c:v>
                </c:pt>
              </c:numCache>
            </c:numRef>
          </c:cat>
          <c:val>
            <c:numRef>
              <c:f>Ridership!$I$6:$I$67</c:f>
              <c:numCache>
                <c:formatCode>_(* #,##0_);_(* \(#,##0\);_(* "-"??_);_(@_)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118</c:v>
                </c:pt>
                <c:pt idx="31">
                  <c:v>162</c:v>
                </c:pt>
                <c:pt idx="32">
                  <c:v>242</c:v>
                </c:pt>
                <c:pt idx="33">
                  <c:v>163</c:v>
                </c:pt>
                <c:pt idx="34">
                  <c:v>172</c:v>
                </c:pt>
                <c:pt idx="35">
                  <c:v>163</c:v>
                </c:pt>
                <c:pt idx="36">
                  <c:v>205</c:v>
                </c:pt>
                <c:pt idx="37">
                  <c:v>315</c:v>
                </c:pt>
                <c:pt idx="38">
                  <c:v>421</c:v>
                </c:pt>
                <c:pt idx="39">
                  <c:v>524</c:v>
                </c:pt>
                <c:pt idx="40">
                  <c:v>454</c:v>
                </c:pt>
                <c:pt idx="41">
                  <c:v>444</c:v>
                </c:pt>
                <c:pt idx="42">
                  <c:v>384</c:v>
                </c:pt>
                <c:pt idx="43">
                  <c:v>491.00000000000006</c:v>
                </c:pt>
                <c:pt idx="44">
                  <c:v>502</c:v>
                </c:pt>
                <c:pt idx="45">
                  <c:v>608</c:v>
                </c:pt>
                <c:pt idx="46">
                  <c:v>888</c:v>
                </c:pt>
                <c:pt idx="47">
                  <c:v>667</c:v>
                </c:pt>
                <c:pt idx="48">
                  <c:v>623</c:v>
                </c:pt>
                <c:pt idx="49">
                  <c:v>707</c:v>
                </c:pt>
                <c:pt idx="50">
                  <c:v>817</c:v>
                </c:pt>
                <c:pt idx="51">
                  <c:v>710</c:v>
                </c:pt>
                <c:pt idx="52">
                  <c:v>808</c:v>
                </c:pt>
                <c:pt idx="53">
                  <c:v>781</c:v>
                </c:pt>
                <c:pt idx="54">
                  <c:v>558</c:v>
                </c:pt>
                <c:pt idx="55">
                  <c:v>669</c:v>
                </c:pt>
                <c:pt idx="56">
                  <c:v>611</c:v>
                </c:pt>
                <c:pt idx="57">
                  <c:v>834</c:v>
                </c:pt>
                <c:pt idx="58">
                  <c:v>882</c:v>
                </c:pt>
                <c:pt idx="59">
                  <c:v>633</c:v>
                </c:pt>
                <c:pt idx="60">
                  <c:v>564</c:v>
                </c:pt>
                <c:pt idx="61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3B-FD43-ADB5-ADF0E13D6EF4}"/>
            </c:ext>
          </c:extLst>
        </c:ser>
        <c:ser>
          <c:idx val="2"/>
          <c:order val="2"/>
          <c:tx>
            <c:strRef>
              <c:f>Ridership!$J$5</c:f>
              <c:strCache>
                <c:ptCount val="1"/>
                <c:pt idx="0">
                  <c:v>Whitestown</c:v>
                </c:pt>
              </c:strCache>
            </c:strRef>
          </c:tx>
          <c:cat>
            <c:numRef>
              <c:f>Ridership!$G$6:$G$67</c:f>
              <c:numCache>
                <c:formatCode>[$-409]mmm\-yy;@</c:formatCode>
                <c:ptCount val="6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 formatCode="mmm\-yy">
                  <c:v>41944</c:v>
                </c:pt>
                <c:pt idx="23" formatCode="mmm\-yy">
                  <c:v>41974</c:v>
                </c:pt>
                <c:pt idx="24" formatCode="mmm\-yy">
                  <c:v>42005</c:v>
                </c:pt>
                <c:pt idx="25" formatCode="mmm\-yy">
                  <c:v>42036</c:v>
                </c:pt>
                <c:pt idx="26" formatCode="mmm\-yy">
                  <c:v>42064</c:v>
                </c:pt>
                <c:pt idx="27" formatCode="mmm\-yy">
                  <c:v>42095</c:v>
                </c:pt>
                <c:pt idx="28" formatCode="mmm\-yy">
                  <c:v>42125</c:v>
                </c:pt>
                <c:pt idx="29" formatCode="mmm\-yy">
                  <c:v>42156</c:v>
                </c:pt>
                <c:pt idx="30" formatCode="mmm\-yy">
                  <c:v>42186</c:v>
                </c:pt>
                <c:pt idx="31" formatCode="mmm\-yy">
                  <c:v>42217</c:v>
                </c:pt>
                <c:pt idx="32" formatCode="mmm\-yy">
                  <c:v>42248</c:v>
                </c:pt>
                <c:pt idx="33" formatCode="mmm\-yy">
                  <c:v>42278</c:v>
                </c:pt>
                <c:pt idx="34" formatCode="mmm\-yy">
                  <c:v>42309</c:v>
                </c:pt>
                <c:pt idx="35" formatCode="mmm\-yy">
                  <c:v>42339</c:v>
                </c:pt>
                <c:pt idx="36" formatCode="mmm\-yy">
                  <c:v>42370</c:v>
                </c:pt>
                <c:pt idx="37" formatCode="mmm\-yy">
                  <c:v>42401</c:v>
                </c:pt>
                <c:pt idx="38" formatCode="mmm\-yy">
                  <c:v>42430</c:v>
                </c:pt>
                <c:pt idx="39" formatCode="mmm\-yy">
                  <c:v>42461</c:v>
                </c:pt>
                <c:pt idx="40" formatCode="mmm\-yy">
                  <c:v>42491</c:v>
                </c:pt>
                <c:pt idx="41" formatCode="mmm\-yy">
                  <c:v>42522</c:v>
                </c:pt>
                <c:pt idx="42" formatCode="mmm\-yy">
                  <c:v>42552</c:v>
                </c:pt>
                <c:pt idx="43" formatCode="mmm\-yy">
                  <c:v>42583</c:v>
                </c:pt>
                <c:pt idx="44" formatCode="mmm\-yy">
                  <c:v>42614</c:v>
                </c:pt>
                <c:pt idx="45" formatCode="mmm\-yy">
                  <c:v>42644</c:v>
                </c:pt>
                <c:pt idx="46" formatCode="mmm\-yy">
                  <c:v>42675</c:v>
                </c:pt>
                <c:pt idx="47" formatCode="mmm\-yy">
                  <c:v>42705</c:v>
                </c:pt>
                <c:pt idx="48" formatCode="mmm\-yy">
                  <c:v>42736</c:v>
                </c:pt>
                <c:pt idx="49" formatCode="mmm\-yy">
                  <c:v>42767</c:v>
                </c:pt>
                <c:pt idx="50" formatCode="mmm\-yy">
                  <c:v>42795</c:v>
                </c:pt>
                <c:pt idx="51" formatCode="mmm\-yy">
                  <c:v>42826</c:v>
                </c:pt>
                <c:pt idx="52" formatCode="mmm\-yy">
                  <c:v>42856</c:v>
                </c:pt>
                <c:pt idx="53" formatCode="mmm\-yy">
                  <c:v>42887</c:v>
                </c:pt>
                <c:pt idx="54" formatCode="mmm\-yy">
                  <c:v>42917</c:v>
                </c:pt>
                <c:pt idx="55" formatCode="mmm\-yy">
                  <c:v>42948</c:v>
                </c:pt>
                <c:pt idx="56" formatCode="mmm\-yy">
                  <c:v>42979</c:v>
                </c:pt>
                <c:pt idx="57" formatCode="mmm\-yy">
                  <c:v>43009</c:v>
                </c:pt>
                <c:pt idx="58" formatCode="mmm\-yy">
                  <c:v>43040</c:v>
                </c:pt>
                <c:pt idx="59" formatCode="mmm\-yy">
                  <c:v>43070</c:v>
                </c:pt>
                <c:pt idx="60" formatCode="mmm\-yy">
                  <c:v>43101</c:v>
                </c:pt>
                <c:pt idx="61" formatCode="mmm\-yy">
                  <c:v>43132</c:v>
                </c:pt>
              </c:numCache>
            </c:numRef>
          </c:cat>
          <c:val>
            <c:numRef>
              <c:f>Ridership!$J$6:$J$67</c:f>
              <c:numCache>
                <c:formatCode>_(* #,##0_);_(* \(#,##0\);_(* "-"??_);_(@_)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33</c:v>
                </c:pt>
                <c:pt idx="32">
                  <c:v>78</c:v>
                </c:pt>
                <c:pt idx="33">
                  <c:v>502</c:v>
                </c:pt>
                <c:pt idx="34">
                  <c:v>960</c:v>
                </c:pt>
                <c:pt idx="35">
                  <c:v>909</c:v>
                </c:pt>
                <c:pt idx="36">
                  <c:v>855</c:v>
                </c:pt>
                <c:pt idx="37">
                  <c:v>567</c:v>
                </c:pt>
                <c:pt idx="38">
                  <c:v>478.73076923076923</c:v>
                </c:pt>
                <c:pt idx="39">
                  <c:v>495.00000000000006</c:v>
                </c:pt>
                <c:pt idx="40">
                  <c:v>605</c:v>
                </c:pt>
                <c:pt idx="41">
                  <c:v>659</c:v>
                </c:pt>
                <c:pt idx="42">
                  <c:v>720</c:v>
                </c:pt>
                <c:pt idx="43">
                  <c:v>901</c:v>
                </c:pt>
                <c:pt idx="44">
                  <c:v>672</c:v>
                </c:pt>
                <c:pt idx="45">
                  <c:v>1031</c:v>
                </c:pt>
                <c:pt idx="46">
                  <c:v>1179</c:v>
                </c:pt>
                <c:pt idx="47">
                  <c:v>719</c:v>
                </c:pt>
                <c:pt idx="48">
                  <c:v>583</c:v>
                </c:pt>
                <c:pt idx="49">
                  <c:v>352</c:v>
                </c:pt>
                <c:pt idx="50">
                  <c:v>372</c:v>
                </c:pt>
                <c:pt idx="51">
                  <c:v>254</c:v>
                </c:pt>
                <c:pt idx="52">
                  <c:v>329</c:v>
                </c:pt>
                <c:pt idx="53">
                  <c:v>517</c:v>
                </c:pt>
                <c:pt idx="54">
                  <c:v>614</c:v>
                </c:pt>
                <c:pt idx="55">
                  <c:v>856</c:v>
                </c:pt>
                <c:pt idx="56">
                  <c:v>815</c:v>
                </c:pt>
                <c:pt idx="57">
                  <c:v>838</c:v>
                </c:pt>
                <c:pt idx="58">
                  <c:v>1462</c:v>
                </c:pt>
                <c:pt idx="59">
                  <c:v>1733</c:v>
                </c:pt>
                <c:pt idx="60">
                  <c:v>857</c:v>
                </c:pt>
                <c:pt idx="61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3B-FD43-ADB5-ADF0E13D6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891136"/>
        <c:axId val="448901120"/>
      </c:areaChart>
      <c:lineChart>
        <c:grouping val="standard"/>
        <c:varyColors val="0"/>
        <c:ser>
          <c:idx val="3"/>
          <c:order val="3"/>
          <c:tx>
            <c:strRef>
              <c:f>Ridership!$K$5</c:f>
              <c:strCache>
                <c:ptCount val="1"/>
                <c:pt idx="0">
                  <c:v>12-month average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Ridership!$G$6:$G$67</c:f>
              <c:numCache>
                <c:formatCode>[$-409]mmm\-yy;@</c:formatCode>
                <c:ptCount val="6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 formatCode="mmm\-yy">
                  <c:v>41944</c:v>
                </c:pt>
                <c:pt idx="23" formatCode="mmm\-yy">
                  <c:v>41974</c:v>
                </c:pt>
                <c:pt idx="24" formatCode="mmm\-yy">
                  <c:v>42005</c:v>
                </c:pt>
                <c:pt idx="25" formatCode="mmm\-yy">
                  <c:v>42036</c:v>
                </c:pt>
                <c:pt idx="26" formatCode="mmm\-yy">
                  <c:v>42064</c:v>
                </c:pt>
                <c:pt idx="27" formatCode="mmm\-yy">
                  <c:v>42095</c:v>
                </c:pt>
                <c:pt idx="28" formatCode="mmm\-yy">
                  <c:v>42125</c:v>
                </c:pt>
                <c:pt idx="29" formatCode="mmm\-yy">
                  <c:v>42156</c:v>
                </c:pt>
                <c:pt idx="30" formatCode="mmm\-yy">
                  <c:v>42186</c:v>
                </c:pt>
                <c:pt idx="31" formatCode="mmm\-yy">
                  <c:v>42217</c:v>
                </c:pt>
                <c:pt idx="32" formatCode="mmm\-yy">
                  <c:v>42248</c:v>
                </c:pt>
                <c:pt idx="33" formatCode="mmm\-yy">
                  <c:v>42278</c:v>
                </c:pt>
                <c:pt idx="34" formatCode="mmm\-yy">
                  <c:v>42309</c:v>
                </c:pt>
                <c:pt idx="35" formatCode="mmm\-yy">
                  <c:v>42339</c:v>
                </c:pt>
                <c:pt idx="36" formatCode="mmm\-yy">
                  <c:v>42370</c:v>
                </c:pt>
                <c:pt idx="37" formatCode="mmm\-yy">
                  <c:v>42401</c:v>
                </c:pt>
                <c:pt idx="38" formatCode="mmm\-yy">
                  <c:v>42430</c:v>
                </c:pt>
                <c:pt idx="39" formatCode="mmm\-yy">
                  <c:v>42461</c:v>
                </c:pt>
                <c:pt idx="40" formatCode="mmm\-yy">
                  <c:v>42491</c:v>
                </c:pt>
                <c:pt idx="41" formatCode="mmm\-yy">
                  <c:v>42522</c:v>
                </c:pt>
                <c:pt idx="42" formatCode="mmm\-yy">
                  <c:v>42552</c:v>
                </c:pt>
                <c:pt idx="43" formatCode="mmm\-yy">
                  <c:v>42583</c:v>
                </c:pt>
                <c:pt idx="44" formatCode="mmm\-yy">
                  <c:v>42614</c:v>
                </c:pt>
                <c:pt idx="45" formatCode="mmm\-yy">
                  <c:v>42644</c:v>
                </c:pt>
                <c:pt idx="46" formatCode="mmm\-yy">
                  <c:v>42675</c:v>
                </c:pt>
                <c:pt idx="47" formatCode="mmm\-yy">
                  <c:v>42705</c:v>
                </c:pt>
                <c:pt idx="48" formatCode="mmm\-yy">
                  <c:v>42736</c:v>
                </c:pt>
                <c:pt idx="49" formatCode="mmm\-yy">
                  <c:v>42767</c:v>
                </c:pt>
                <c:pt idx="50" formatCode="mmm\-yy">
                  <c:v>42795</c:v>
                </c:pt>
                <c:pt idx="51" formatCode="mmm\-yy">
                  <c:v>42826</c:v>
                </c:pt>
                <c:pt idx="52" formatCode="mmm\-yy">
                  <c:v>42856</c:v>
                </c:pt>
                <c:pt idx="53" formatCode="mmm\-yy">
                  <c:v>42887</c:v>
                </c:pt>
                <c:pt idx="54" formatCode="mmm\-yy">
                  <c:v>42917</c:v>
                </c:pt>
                <c:pt idx="55" formatCode="mmm\-yy">
                  <c:v>42948</c:v>
                </c:pt>
                <c:pt idx="56" formatCode="mmm\-yy">
                  <c:v>42979</c:v>
                </c:pt>
                <c:pt idx="57" formatCode="mmm\-yy">
                  <c:v>43009</c:v>
                </c:pt>
                <c:pt idx="58" formatCode="mmm\-yy">
                  <c:v>43040</c:v>
                </c:pt>
                <c:pt idx="59" formatCode="mmm\-yy">
                  <c:v>43070</c:v>
                </c:pt>
                <c:pt idx="60" formatCode="mmm\-yy">
                  <c:v>43101</c:v>
                </c:pt>
                <c:pt idx="61" formatCode="mmm\-yy">
                  <c:v>43132</c:v>
                </c:pt>
              </c:numCache>
            </c:numRef>
          </c:cat>
          <c:val>
            <c:numRef>
              <c:f>Ridership!$K$6:$K$67</c:f>
              <c:numCache>
                <c:formatCode>_(* #,##0_);_(* \(#,##0\);_(* "-"??_);_(@_)</c:formatCode>
                <c:ptCount val="62"/>
                <c:pt idx="0">
                  <c:v>456</c:v>
                </c:pt>
                <c:pt idx="1">
                  <c:v>491</c:v>
                </c:pt>
                <c:pt idx="2">
                  <c:v>501</c:v>
                </c:pt>
                <c:pt idx="3">
                  <c:v>544</c:v>
                </c:pt>
                <c:pt idx="4">
                  <c:v>609.4</c:v>
                </c:pt>
                <c:pt idx="5">
                  <c:v>660.83333333333337</c:v>
                </c:pt>
                <c:pt idx="6">
                  <c:v>731.14285714285711</c:v>
                </c:pt>
                <c:pt idx="7">
                  <c:v>798.75</c:v>
                </c:pt>
                <c:pt idx="8">
                  <c:v>867.22222222222217</c:v>
                </c:pt>
                <c:pt idx="9">
                  <c:v>965.9</c:v>
                </c:pt>
                <c:pt idx="10">
                  <c:v>1057.8181818181818</c:v>
                </c:pt>
                <c:pt idx="11">
                  <c:v>1139.3333333333333</c:v>
                </c:pt>
                <c:pt idx="12">
                  <c:v>1201.3333333333333</c:v>
                </c:pt>
                <c:pt idx="13">
                  <c:v>1252.3333333333333</c:v>
                </c:pt>
                <c:pt idx="14">
                  <c:v>1297.6666666666667</c:v>
                </c:pt>
                <c:pt idx="15">
                  <c:v>1362.75</c:v>
                </c:pt>
                <c:pt idx="16">
                  <c:v>1408.8333333333333</c:v>
                </c:pt>
                <c:pt idx="17">
                  <c:v>1455</c:v>
                </c:pt>
                <c:pt idx="18">
                  <c:v>1487.25</c:v>
                </c:pt>
                <c:pt idx="19">
                  <c:v>1500.3333333333333</c:v>
                </c:pt>
                <c:pt idx="20">
                  <c:v>1514</c:v>
                </c:pt>
                <c:pt idx="21">
                  <c:v>1524.4166666666667</c:v>
                </c:pt>
                <c:pt idx="22">
                  <c:v>1549.1666666666667</c:v>
                </c:pt>
                <c:pt idx="23">
                  <c:v>1602.4166666666667</c:v>
                </c:pt>
                <c:pt idx="24">
                  <c:v>1670.4166666666667</c:v>
                </c:pt>
                <c:pt idx="25">
                  <c:v>1695.0833333333333</c:v>
                </c:pt>
                <c:pt idx="26">
                  <c:v>1726.8333333333333</c:v>
                </c:pt>
                <c:pt idx="27">
                  <c:v>1718.3333333333333</c:v>
                </c:pt>
                <c:pt idx="28">
                  <c:v>1707.25</c:v>
                </c:pt>
                <c:pt idx="29">
                  <c:v>1736.8333333333333</c:v>
                </c:pt>
                <c:pt idx="30">
                  <c:v>1745.9166666666667</c:v>
                </c:pt>
                <c:pt idx="31">
                  <c:v>1801.3333333333333</c:v>
                </c:pt>
                <c:pt idx="32">
                  <c:v>1939.25</c:v>
                </c:pt>
                <c:pt idx="33">
                  <c:v>2102</c:v>
                </c:pt>
                <c:pt idx="34">
                  <c:v>2243.9166666666665</c:v>
                </c:pt>
                <c:pt idx="35">
                  <c:v>2325.75</c:v>
                </c:pt>
                <c:pt idx="36">
                  <c:v>2393</c:v>
                </c:pt>
                <c:pt idx="37">
                  <c:v>2511.15</c:v>
                </c:pt>
                <c:pt idx="38">
                  <c:v>2656.7108974358976</c:v>
                </c:pt>
                <c:pt idx="39">
                  <c:v>2809.7108974358976</c:v>
                </c:pt>
                <c:pt idx="40">
                  <c:v>2993.2108974358976</c:v>
                </c:pt>
                <c:pt idx="41">
                  <c:v>3142.9608974358976</c:v>
                </c:pt>
                <c:pt idx="42">
                  <c:v>3291.7108974358976</c:v>
                </c:pt>
                <c:pt idx="43">
                  <c:v>3454.9608974358976</c:v>
                </c:pt>
                <c:pt idx="44">
                  <c:v>3491.7108974358976</c:v>
                </c:pt>
                <c:pt idx="45">
                  <c:v>3506.6275641025641</c:v>
                </c:pt>
                <c:pt idx="46">
                  <c:v>3554.7942307692306</c:v>
                </c:pt>
                <c:pt idx="47">
                  <c:v>3569.7942307692306</c:v>
                </c:pt>
                <c:pt idx="48">
                  <c:v>3593.3775641025641</c:v>
                </c:pt>
                <c:pt idx="49">
                  <c:v>3583.810897435897</c:v>
                </c:pt>
                <c:pt idx="50">
                  <c:v>3573.5</c:v>
                </c:pt>
                <c:pt idx="51">
                  <c:v>3539.9166666666665</c:v>
                </c:pt>
                <c:pt idx="52">
                  <c:v>3524.9166666666665</c:v>
                </c:pt>
                <c:pt idx="53">
                  <c:v>3507.4166666666665</c:v>
                </c:pt>
                <c:pt idx="54">
                  <c:v>3469.6666666666665</c:v>
                </c:pt>
                <c:pt idx="55">
                  <c:v>3499.8333333333335</c:v>
                </c:pt>
                <c:pt idx="56">
                  <c:v>3508.5</c:v>
                </c:pt>
                <c:pt idx="57">
                  <c:v>3513.6666666666665</c:v>
                </c:pt>
                <c:pt idx="58">
                  <c:v>3542.25</c:v>
                </c:pt>
                <c:pt idx="59">
                  <c:v>3607</c:v>
                </c:pt>
                <c:pt idx="60">
                  <c:v>3648.5833333333335</c:v>
                </c:pt>
                <c:pt idx="61">
                  <c:v>3669.25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3B-FD43-ADB5-ADF0E13D6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4192"/>
        <c:axId val="448902656"/>
      </c:lineChart>
      <c:dateAx>
        <c:axId val="448891136"/>
        <c:scaling>
          <c:orientation val="minMax"/>
          <c:min val="42705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448901120"/>
        <c:crosses val="autoZero"/>
        <c:auto val="1"/>
        <c:lblOffset val="100"/>
        <c:baseTimeUnit val="months"/>
      </c:dateAx>
      <c:valAx>
        <c:axId val="4489011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48891136"/>
        <c:crosses val="autoZero"/>
        <c:crossBetween val="between"/>
      </c:valAx>
      <c:valAx>
        <c:axId val="448902656"/>
        <c:scaling>
          <c:orientation val="minMax"/>
          <c:max val="5000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448904192"/>
        <c:crosses val="max"/>
        <c:crossBetween val="between"/>
      </c:valAx>
      <c:dateAx>
        <c:axId val="44890419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48902656"/>
        <c:crosses val="autoZero"/>
        <c:auto val="1"/>
        <c:lblOffset val="100"/>
        <c:baseTimeUnit val="months"/>
        <c:majorUnit val="1"/>
        <c:minorUnit val="1"/>
      </c:dateAx>
    </c:plotArea>
    <c:legend>
      <c:legendPos val="r"/>
      <c:overlay val="0"/>
    </c:legend>
    <c:plotVisOnly val="1"/>
    <c:dispBlanksAs val="zero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Ridership!$H$5</c:f>
              <c:strCache>
                <c:ptCount val="1"/>
                <c:pt idx="0">
                  <c:v>South Pl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cat>
            <c:numRef>
              <c:f>Ridership!$G$6:$G$67</c:f>
              <c:numCache>
                <c:formatCode>[$-409]mmm\-yy;@</c:formatCode>
                <c:ptCount val="6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 formatCode="mmm\-yy">
                  <c:v>41944</c:v>
                </c:pt>
                <c:pt idx="23" formatCode="mmm\-yy">
                  <c:v>41974</c:v>
                </c:pt>
                <c:pt idx="24" formatCode="mmm\-yy">
                  <c:v>42005</c:v>
                </c:pt>
                <c:pt idx="25" formatCode="mmm\-yy">
                  <c:v>42036</c:v>
                </c:pt>
                <c:pt idx="26" formatCode="mmm\-yy">
                  <c:v>42064</c:v>
                </c:pt>
                <c:pt idx="27" formatCode="mmm\-yy">
                  <c:v>42095</c:v>
                </c:pt>
                <c:pt idx="28" formatCode="mmm\-yy">
                  <c:v>42125</c:v>
                </c:pt>
                <c:pt idx="29" formatCode="mmm\-yy">
                  <c:v>42156</c:v>
                </c:pt>
                <c:pt idx="30" formatCode="mmm\-yy">
                  <c:v>42186</c:v>
                </c:pt>
                <c:pt idx="31" formatCode="mmm\-yy">
                  <c:v>42217</c:v>
                </c:pt>
                <c:pt idx="32" formatCode="mmm\-yy">
                  <c:v>42248</c:v>
                </c:pt>
                <c:pt idx="33" formatCode="mmm\-yy">
                  <c:v>42278</c:v>
                </c:pt>
                <c:pt idx="34" formatCode="mmm\-yy">
                  <c:v>42309</c:v>
                </c:pt>
                <c:pt idx="35" formatCode="mmm\-yy">
                  <c:v>42339</c:v>
                </c:pt>
                <c:pt idx="36" formatCode="mmm\-yy">
                  <c:v>42370</c:v>
                </c:pt>
                <c:pt idx="37" formatCode="mmm\-yy">
                  <c:v>42401</c:v>
                </c:pt>
                <c:pt idx="38" formatCode="mmm\-yy">
                  <c:v>42430</c:v>
                </c:pt>
                <c:pt idx="39" formatCode="mmm\-yy">
                  <c:v>42461</c:v>
                </c:pt>
                <c:pt idx="40" formatCode="mmm\-yy">
                  <c:v>42491</c:v>
                </c:pt>
                <c:pt idx="41" formatCode="mmm\-yy">
                  <c:v>42522</c:v>
                </c:pt>
                <c:pt idx="42" formatCode="mmm\-yy">
                  <c:v>42552</c:v>
                </c:pt>
                <c:pt idx="43" formatCode="mmm\-yy">
                  <c:v>42583</c:v>
                </c:pt>
                <c:pt idx="44" formatCode="mmm\-yy">
                  <c:v>42614</c:v>
                </c:pt>
                <c:pt idx="45" formatCode="mmm\-yy">
                  <c:v>42644</c:v>
                </c:pt>
                <c:pt idx="46" formatCode="mmm\-yy">
                  <c:v>42675</c:v>
                </c:pt>
                <c:pt idx="47" formatCode="mmm\-yy">
                  <c:v>42705</c:v>
                </c:pt>
                <c:pt idx="48" formatCode="mmm\-yy">
                  <c:v>42736</c:v>
                </c:pt>
                <c:pt idx="49" formatCode="mmm\-yy">
                  <c:v>42767</c:v>
                </c:pt>
                <c:pt idx="50" formatCode="mmm\-yy">
                  <c:v>42795</c:v>
                </c:pt>
                <c:pt idx="51" formatCode="mmm\-yy">
                  <c:v>42826</c:v>
                </c:pt>
                <c:pt idx="52" formatCode="mmm\-yy">
                  <c:v>42856</c:v>
                </c:pt>
                <c:pt idx="53" formatCode="mmm\-yy">
                  <c:v>42887</c:v>
                </c:pt>
                <c:pt idx="54" formatCode="mmm\-yy">
                  <c:v>42917</c:v>
                </c:pt>
                <c:pt idx="55" formatCode="mmm\-yy">
                  <c:v>42948</c:v>
                </c:pt>
                <c:pt idx="56" formatCode="mmm\-yy">
                  <c:v>42979</c:v>
                </c:pt>
                <c:pt idx="57" formatCode="mmm\-yy">
                  <c:v>43009</c:v>
                </c:pt>
                <c:pt idx="58" formatCode="mmm\-yy">
                  <c:v>43040</c:v>
                </c:pt>
                <c:pt idx="59" formatCode="mmm\-yy">
                  <c:v>43070</c:v>
                </c:pt>
                <c:pt idx="60" formatCode="mmm\-yy">
                  <c:v>43101</c:v>
                </c:pt>
                <c:pt idx="61" formatCode="mmm\-yy">
                  <c:v>43132</c:v>
                </c:pt>
              </c:numCache>
            </c:numRef>
          </c:cat>
          <c:val>
            <c:numRef>
              <c:f>Ridership!$H$6:$H$67</c:f>
              <c:numCache>
                <c:formatCode>_(* #,##0_);_(* \(#,##0\);_(* "-"??_);_(@_)</c:formatCode>
                <c:ptCount val="62"/>
                <c:pt idx="0">
                  <c:v>456</c:v>
                </c:pt>
                <c:pt idx="1">
                  <c:v>526</c:v>
                </c:pt>
                <c:pt idx="2">
                  <c:v>521</c:v>
                </c:pt>
                <c:pt idx="3">
                  <c:v>673</c:v>
                </c:pt>
                <c:pt idx="4">
                  <c:v>871</c:v>
                </c:pt>
                <c:pt idx="5">
                  <c:v>918</c:v>
                </c:pt>
                <c:pt idx="6">
                  <c:v>1153</c:v>
                </c:pt>
                <c:pt idx="7">
                  <c:v>1272</c:v>
                </c:pt>
                <c:pt idx="8">
                  <c:v>1415</c:v>
                </c:pt>
                <c:pt idx="9">
                  <c:v>1854</c:v>
                </c:pt>
                <c:pt idx="10">
                  <c:v>1977</c:v>
                </c:pt>
                <c:pt idx="11">
                  <c:v>2036</c:v>
                </c:pt>
                <c:pt idx="12">
                  <c:v>1200</c:v>
                </c:pt>
                <c:pt idx="13">
                  <c:v>1138</c:v>
                </c:pt>
                <c:pt idx="14">
                  <c:v>1065</c:v>
                </c:pt>
                <c:pt idx="15">
                  <c:v>1454</c:v>
                </c:pt>
                <c:pt idx="16">
                  <c:v>1424</c:v>
                </c:pt>
                <c:pt idx="17">
                  <c:v>1472</c:v>
                </c:pt>
                <c:pt idx="18">
                  <c:v>1540</c:v>
                </c:pt>
                <c:pt idx="19">
                  <c:v>1429</c:v>
                </c:pt>
                <c:pt idx="20">
                  <c:v>1579</c:v>
                </c:pt>
                <c:pt idx="21">
                  <c:v>1979</c:v>
                </c:pt>
                <c:pt idx="22">
                  <c:v>2274</c:v>
                </c:pt>
                <c:pt idx="23">
                  <c:v>2675</c:v>
                </c:pt>
                <c:pt idx="24">
                  <c:v>2016</c:v>
                </c:pt>
                <c:pt idx="25">
                  <c:v>1434</c:v>
                </c:pt>
                <c:pt idx="26">
                  <c:v>1446</c:v>
                </c:pt>
                <c:pt idx="27">
                  <c:v>1352</c:v>
                </c:pt>
                <c:pt idx="28">
                  <c:v>1291</c:v>
                </c:pt>
                <c:pt idx="29">
                  <c:v>1827</c:v>
                </c:pt>
                <c:pt idx="30">
                  <c:v>1528</c:v>
                </c:pt>
                <c:pt idx="31">
                  <c:v>1899</c:v>
                </c:pt>
                <c:pt idx="32">
                  <c:v>2914</c:v>
                </c:pt>
                <c:pt idx="33">
                  <c:v>3267</c:v>
                </c:pt>
                <c:pt idx="34">
                  <c:v>2845</c:v>
                </c:pt>
                <c:pt idx="35">
                  <c:v>2585</c:v>
                </c:pt>
                <c:pt idx="36">
                  <c:v>1763</c:v>
                </c:pt>
                <c:pt idx="37">
                  <c:v>1969.8</c:v>
                </c:pt>
                <c:pt idx="38">
                  <c:v>2293</c:v>
                </c:pt>
                <c:pt idx="39">
                  <c:v>2169</c:v>
                </c:pt>
                <c:pt idx="40">
                  <c:v>2434</c:v>
                </c:pt>
                <c:pt idx="41">
                  <c:v>2521</c:v>
                </c:pt>
                <c:pt idx="42">
                  <c:v>2330</c:v>
                </c:pt>
                <c:pt idx="43">
                  <c:v>2661</c:v>
                </c:pt>
                <c:pt idx="44">
                  <c:v>2501</c:v>
                </c:pt>
                <c:pt idx="45">
                  <c:v>2472</c:v>
                </c:pt>
                <c:pt idx="46">
                  <c:v>2488</c:v>
                </c:pt>
                <c:pt idx="47">
                  <c:v>2451</c:v>
                </c:pt>
                <c:pt idx="48">
                  <c:v>1900</c:v>
                </c:pt>
                <c:pt idx="49">
                  <c:v>1678</c:v>
                </c:pt>
                <c:pt idx="50">
                  <c:v>1880</c:v>
                </c:pt>
                <c:pt idx="51">
                  <c:v>1821</c:v>
                </c:pt>
                <c:pt idx="52">
                  <c:v>2176</c:v>
                </c:pt>
                <c:pt idx="53">
                  <c:v>2116</c:v>
                </c:pt>
                <c:pt idx="54">
                  <c:v>1809</c:v>
                </c:pt>
                <c:pt idx="55">
                  <c:v>2890</c:v>
                </c:pt>
                <c:pt idx="56">
                  <c:v>2353</c:v>
                </c:pt>
                <c:pt idx="57">
                  <c:v>2501</c:v>
                </c:pt>
                <c:pt idx="58">
                  <c:v>2554</c:v>
                </c:pt>
                <c:pt idx="59">
                  <c:v>2248</c:v>
                </c:pt>
                <c:pt idx="60">
                  <c:v>2184</c:v>
                </c:pt>
                <c:pt idx="61">
                  <c:v>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4-2140-89E5-C28BC15D54F5}"/>
            </c:ext>
          </c:extLst>
        </c:ser>
        <c:ser>
          <c:idx val="1"/>
          <c:order val="1"/>
          <c:tx>
            <c:strRef>
              <c:f>Ridership!$I$5</c:f>
              <c:strCache>
                <c:ptCount val="1"/>
                <c:pt idx="0">
                  <c:v>North Pl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  <a:ln>
              <a:solidFill>
                <a:schemeClr val="accent1"/>
              </a:solidFill>
            </a:ln>
          </c:spPr>
          <c:cat>
            <c:numRef>
              <c:f>Ridership!$G$6:$G$67</c:f>
              <c:numCache>
                <c:formatCode>[$-409]mmm\-yy;@</c:formatCode>
                <c:ptCount val="6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 formatCode="mmm\-yy">
                  <c:v>41944</c:v>
                </c:pt>
                <c:pt idx="23" formatCode="mmm\-yy">
                  <c:v>41974</c:v>
                </c:pt>
                <c:pt idx="24" formatCode="mmm\-yy">
                  <c:v>42005</c:v>
                </c:pt>
                <c:pt idx="25" formatCode="mmm\-yy">
                  <c:v>42036</c:v>
                </c:pt>
                <c:pt idx="26" formatCode="mmm\-yy">
                  <c:v>42064</c:v>
                </c:pt>
                <c:pt idx="27" formatCode="mmm\-yy">
                  <c:v>42095</c:v>
                </c:pt>
                <c:pt idx="28" formatCode="mmm\-yy">
                  <c:v>42125</c:v>
                </c:pt>
                <c:pt idx="29" formatCode="mmm\-yy">
                  <c:v>42156</c:v>
                </c:pt>
                <c:pt idx="30" formatCode="mmm\-yy">
                  <c:v>42186</c:v>
                </c:pt>
                <c:pt idx="31" formatCode="mmm\-yy">
                  <c:v>42217</c:v>
                </c:pt>
                <c:pt idx="32" formatCode="mmm\-yy">
                  <c:v>42248</c:v>
                </c:pt>
                <c:pt idx="33" formatCode="mmm\-yy">
                  <c:v>42278</c:v>
                </c:pt>
                <c:pt idx="34" formatCode="mmm\-yy">
                  <c:v>42309</c:v>
                </c:pt>
                <c:pt idx="35" formatCode="mmm\-yy">
                  <c:v>42339</c:v>
                </c:pt>
                <c:pt idx="36" formatCode="mmm\-yy">
                  <c:v>42370</c:v>
                </c:pt>
                <c:pt idx="37" formatCode="mmm\-yy">
                  <c:v>42401</c:v>
                </c:pt>
                <c:pt idx="38" formatCode="mmm\-yy">
                  <c:v>42430</c:v>
                </c:pt>
                <c:pt idx="39" formatCode="mmm\-yy">
                  <c:v>42461</c:v>
                </c:pt>
                <c:pt idx="40" formatCode="mmm\-yy">
                  <c:v>42491</c:v>
                </c:pt>
                <c:pt idx="41" formatCode="mmm\-yy">
                  <c:v>42522</c:v>
                </c:pt>
                <c:pt idx="42" formatCode="mmm\-yy">
                  <c:v>42552</c:v>
                </c:pt>
                <c:pt idx="43" formatCode="mmm\-yy">
                  <c:v>42583</c:v>
                </c:pt>
                <c:pt idx="44" formatCode="mmm\-yy">
                  <c:v>42614</c:v>
                </c:pt>
                <c:pt idx="45" formatCode="mmm\-yy">
                  <c:v>42644</c:v>
                </c:pt>
                <c:pt idx="46" formatCode="mmm\-yy">
                  <c:v>42675</c:v>
                </c:pt>
                <c:pt idx="47" formatCode="mmm\-yy">
                  <c:v>42705</c:v>
                </c:pt>
                <c:pt idx="48" formatCode="mmm\-yy">
                  <c:v>42736</c:v>
                </c:pt>
                <c:pt idx="49" formatCode="mmm\-yy">
                  <c:v>42767</c:v>
                </c:pt>
                <c:pt idx="50" formatCode="mmm\-yy">
                  <c:v>42795</c:v>
                </c:pt>
                <c:pt idx="51" formatCode="mmm\-yy">
                  <c:v>42826</c:v>
                </c:pt>
                <c:pt idx="52" formatCode="mmm\-yy">
                  <c:v>42856</c:v>
                </c:pt>
                <c:pt idx="53" formatCode="mmm\-yy">
                  <c:v>42887</c:v>
                </c:pt>
                <c:pt idx="54" formatCode="mmm\-yy">
                  <c:v>42917</c:v>
                </c:pt>
                <c:pt idx="55" formatCode="mmm\-yy">
                  <c:v>42948</c:v>
                </c:pt>
                <c:pt idx="56" formatCode="mmm\-yy">
                  <c:v>42979</c:v>
                </c:pt>
                <c:pt idx="57" formatCode="mmm\-yy">
                  <c:v>43009</c:v>
                </c:pt>
                <c:pt idx="58" formatCode="mmm\-yy">
                  <c:v>43040</c:v>
                </c:pt>
                <c:pt idx="59" formatCode="mmm\-yy">
                  <c:v>43070</c:v>
                </c:pt>
                <c:pt idx="60" formatCode="mmm\-yy">
                  <c:v>43101</c:v>
                </c:pt>
                <c:pt idx="61" formatCode="mmm\-yy">
                  <c:v>43132</c:v>
                </c:pt>
              </c:numCache>
            </c:numRef>
          </c:cat>
          <c:val>
            <c:numRef>
              <c:f>Ridership!$I$6:$I$67</c:f>
              <c:numCache>
                <c:formatCode>_(* #,##0_);_(* \(#,##0\);_(* "-"??_);_(@_)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118</c:v>
                </c:pt>
                <c:pt idx="31">
                  <c:v>162</c:v>
                </c:pt>
                <c:pt idx="32">
                  <c:v>242</c:v>
                </c:pt>
                <c:pt idx="33">
                  <c:v>163</c:v>
                </c:pt>
                <c:pt idx="34">
                  <c:v>172</c:v>
                </c:pt>
                <c:pt idx="35">
                  <c:v>163</c:v>
                </c:pt>
                <c:pt idx="36">
                  <c:v>205</c:v>
                </c:pt>
                <c:pt idx="37">
                  <c:v>315</c:v>
                </c:pt>
                <c:pt idx="38">
                  <c:v>421</c:v>
                </c:pt>
                <c:pt idx="39">
                  <c:v>524</c:v>
                </c:pt>
                <c:pt idx="40">
                  <c:v>454</c:v>
                </c:pt>
                <c:pt idx="41">
                  <c:v>444</c:v>
                </c:pt>
                <c:pt idx="42">
                  <c:v>384</c:v>
                </c:pt>
                <c:pt idx="43">
                  <c:v>491.00000000000006</c:v>
                </c:pt>
                <c:pt idx="44">
                  <c:v>502</c:v>
                </c:pt>
                <c:pt idx="45">
                  <c:v>608</c:v>
                </c:pt>
                <c:pt idx="46">
                  <c:v>888</c:v>
                </c:pt>
                <c:pt idx="47">
                  <c:v>667</c:v>
                </c:pt>
                <c:pt idx="48">
                  <c:v>623</c:v>
                </c:pt>
                <c:pt idx="49">
                  <c:v>707</c:v>
                </c:pt>
                <c:pt idx="50">
                  <c:v>817</c:v>
                </c:pt>
                <c:pt idx="51">
                  <c:v>710</c:v>
                </c:pt>
                <c:pt idx="52">
                  <c:v>808</c:v>
                </c:pt>
                <c:pt idx="53">
                  <c:v>781</c:v>
                </c:pt>
                <c:pt idx="54">
                  <c:v>558</c:v>
                </c:pt>
                <c:pt idx="55">
                  <c:v>669</c:v>
                </c:pt>
                <c:pt idx="56">
                  <c:v>611</c:v>
                </c:pt>
                <c:pt idx="57">
                  <c:v>834</c:v>
                </c:pt>
                <c:pt idx="58">
                  <c:v>882</c:v>
                </c:pt>
                <c:pt idx="59">
                  <c:v>633</c:v>
                </c:pt>
                <c:pt idx="60">
                  <c:v>564</c:v>
                </c:pt>
                <c:pt idx="61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4-2140-89E5-C28BC15D54F5}"/>
            </c:ext>
          </c:extLst>
        </c:ser>
        <c:ser>
          <c:idx val="2"/>
          <c:order val="2"/>
          <c:tx>
            <c:strRef>
              <c:f>Ridership!$J$5</c:f>
              <c:strCache>
                <c:ptCount val="1"/>
                <c:pt idx="0">
                  <c:v>Whitestown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cat>
            <c:numRef>
              <c:f>Ridership!$G$6:$G$67</c:f>
              <c:numCache>
                <c:formatCode>[$-409]mmm\-yy;@</c:formatCode>
                <c:ptCount val="6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 formatCode="mmm\-yy">
                  <c:v>41944</c:v>
                </c:pt>
                <c:pt idx="23" formatCode="mmm\-yy">
                  <c:v>41974</c:v>
                </c:pt>
                <c:pt idx="24" formatCode="mmm\-yy">
                  <c:v>42005</c:v>
                </c:pt>
                <c:pt idx="25" formatCode="mmm\-yy">
                  <c:v>42036</c:v>
                </c:pt>
                <c:pt idx="26" formatCode="mmm\-yy">
                  <c:v>42064</c:v>
                </c:pt>
                <c:pt idx="27" formatCode="mmm\-yy">
                  <c:v>42095</c:v>
                </c:pt>
                <c:pt idx="28" formatCode="mmm\-yy">
                  <c:v>42125</c:v>
                </c:pt>
                <c:pt idx="29" formatCode="mmm\-yy">
                  <c:v>42156</c:v>
                </c:pt>
                <c:pt idx="30" formatCode="mmm\-yy">
                  <c:v>42186</c:v>
                </c:pt>
                <c:pt idx="31" formatCode="mmm\-yy">
                  <c:v>42217</c:v>
                </c:pt>
                <c:pt idx="32" formatCode="mmm\-yy">
                  <c:v>42248</c:v>
                </c:pt>
                <c:pt idx="33" formatCode="mmm\-yy">
                  <c:v>42278</c:v>
                </c:pt>
                <c:pt idx="34" formatCode="mmm\-yy">
                  <c:v>42309</c:v>
                </c:pt>
                <c:pt idx="35" formatCode="mmm\-yy">
                  <c:v>42339</c:v>
                </c:pt>
                <c:pt idx="36" formatCode="mmm\-yy">
                  <c:v>42370</c:v>
                </c:pt>
                <c:pt idx="37" formatCode="mmm\-yy">
                  <c:v>42401</c:v>
                </c:pt>
                <c:pt idx="38" formatCode="mmm\-yy">
                  <c:v>42430</c:v>
                </c:pt>
                <c:pt idx="39" formatCode="mmm\-yy">
                  <c:v>42461</c:v>
                </c:pt>
                <c:pt idx="40" formatCode="mmm\-yy">
                  <c:v>42491</c:v>
                </c:pt>
                <c:pt idx="41" formatCode="mmm\-yy">
                  <c:v>42522</c:v>
                </c:pt>
                <c:pt idx="42" formatCode="mmm\-yy">
                  <c:v>42552</c:v>
                </c:pt>
                <c:pt idx="43" formatCode="mmm\-yy">
                  <c:v>42583</c:v>
                </c:pt>
                <c:pt idx="44" formatCode="mmm\-yy">
                  <c:v>42614</c:v>
                </c:pt>
                <c:pt idx="45" formatCode="mmm\-yy">
                  <c:v>42644</c:v>
                </c:pt>
                <c:pt idx="46" formatCode="mmm\-yy">
                  <c:v>42675</c:v>
                </c:pt>
                <c:pt idx="47" formatCode="mmm\-yy">
                  <c:v>42705</c:v>
                </c:pt>
                <c:pt idx="48" formatCode="mmm\-yy">
                  <c:v>42736</c:v>
                </c:pt>
                <c:pt idx="49" formatCode="mmm\-yy">
                  <c:v>42767</c:v>
                </c:pt>
                <c:pt idx="50" formatCode="mmm\-yy">
                  <c:v>42795</c:v>
                </c:pt>
                <c:pt idx="51" formatCode="mmm\-yy">
                  <c:v>42826</c:v>
                </c:pt>
                <c:pt idx="52" formatCode="mmm\-yy">
                  <c:v>42856</c:v>
                </c:pt>
                <c:pt idx="53" formatCode="mmm\-yy">
                  <c:v>42887</c:v>
                </c:pt>
                <c:pt idx="54" formatCode="mmm\-yy">
                  <c:v>42917</c:v>
                </c:pt>
                <c:pt idx="55" formatCode="mmm\-yy">
                  <c:v>42948</c:v>
                </c:pt>
                <c:pt idx="56" formatCode="mmm\-yy">
                  <c:v>42979</c:v>
                </c:pt>
                <c:pt idx="57" formatCode="mmm\-yy">
                  <c:v>43009</c:v>
                </c:pt>
                <c:pt idx="58" formatCode="mmm\-yy">
                  <c:v>43040</c:v>
                </c:pt>
                <c:pt idx="59" formatCode="mmm\-yy">
                  <c:v>43070</c:v>
                </c:pt>
                <c:pt idx="60" formatCode="mmm\-yy">
                  <c:v>43101</c:v>
                </c:pt>
                <c:pt idx="61" formatCode="mmm\-yy">
                  <c:v>43132</c:v>
                </c:pt>
              </c:numCache>
            </c:numRef>
          </c:cat>
          <c:val>
            <c:numRef>
              <c:f>Ridership!$J$6:$J$67</c:f>
              <c:numCache>
                <c:formatCode>_(* #,##0_);_(* \(#,##0\);_(* "-"??_);_(@_)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33</c:v>
                </c:pt>
                <c:pt idx="32">
                  <c:v>78</c:v>
                </c:pt>
                <c:pt idx="33">
                  <c:v>502</c:v>
                </c:pt>
                <c:pt idx="34">
                  <c:v>960</c:v>
                </c:pt>
                <c:pt idx="35">
                  <c:v>909</c:v>
                </c:pt>
                <c:pt idx="36">
                  <c:v>855</c:v>
                </c:pt>
                <c:pt idx="37">
                  <c:v>567</c:v>
                </c:pt>
                <c:pt idx="38">
                  <c:v>478.73076923076923</c:v>
                </c:pt>
                <c:pt idx="39">
                  <c:v>495.00000000000006</c:v>
                </c:pt>
                <c:pt idx="40">
                  <c:v>605</c:v>
                </c:pt>
                <c:pt idx="41">
                  <c:v>659</c:v>
                </c:pt>
                <c:pt idx="42">
                  <c:v>720</c:v>
                </c:pt>
                <c:pt idx="43">
                  <c:v>901</c:v>
                </c:pt>
                <c:pt idx="44">
                  <c:v>672</c:v>
                </c:pt>
                <c:pt idx="45">
                  <c:v>1031</c:v>
                </c:pt>
                <c:pt idx="46">
                  <c:v>1179</c:v>
                </c:pt>
                <c:pt idx="47">
                  <c:v>719</c:v>
                </c:pt>
                <c:pt idx="48">
                  <c:v>583</c:v>
                </c:pt>
                <c:pt idx="49">
                  <c:v>352</c:v>
                </c:pt>
                <c:pt idx="50">
                  <c:v>372</c:v>
                </c:pt>
                <c:pt idx="51">
                  <c:v>254</c:v>
                </c:pt>
                <c:pt idx="52">
                  <c:v>329</c:v>
                </c:pt>
                <c:pt idx="53">
                  <c:v>517</c:v>
                </c:pt>
                <c:pt idx="54">
                  <c:v>614</c:v>
                </c:pt>
                <c:pt idx="55">
                  <c:v>856</c:v>
                </c:pt>
                <c:pt idx="56">
                  <c:v>815</c:v>
                </c:pt>
                <c:pt idx="57">
                  <c:v>838</c:v>
                </c:pt>
                <c:pt idx="58">
                  <c:v>1462</c:v>
                </c:pt>
                <c:pt idx="59">
                  <c:v>1733</c:v>
                </c:pt>
                <c:pt idx="60">
                  <c:v>857</c:v>
                </c:pt>
                <c:pt idx="61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4-2140-89E5-C28BC15D5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299200"/>
        <c:axId val="645305088"/>
      </c:areaChart>
      <c:lineChart>
        <c:grouping val="standard"/>
        <c:varyColors val="0"/>
        <c:ser>
          <c:idx val="3"/>
          <c:order val="3"/>
          <c:tx>
            <c:strRef>
              <c:f>Ridership!$K$5</c:f>
              <c:strCache>
                <c:ptCount val="1"/>
                <c:pt idx="0">
                  <c:v>12-month average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Ridership!$G$6:$G$67</c:f>
              <c:numCache>
                <c:formatCode>[$-409]mmm\-yy;@</c:formatCode>
                <c:ptCount val="6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 formatCode="mmm\-yy">
                  <c:v>41944</c:v>
                </c:pt>
                <c:pt idx="23" formatCode="mmm\-yy">
                  <c:v>41974</c:v>
                </c:pt>
                <c:pt idx="24" formatCode="mmm\-yy">
                  <c:v>42005</c:v>
                </c:pt>
                <c:pt idx="25" formatCode="mmm\-yy">
                  <c:v>42036</c:v>
                </c:pt>
                <c:pt idx="26" formatCode="mmm\-yy">
                  <c:v>42064</c:v>
                </c:pt>
                <c:pt idx="27" formatCode="mmm\-yy">
                  <c:v>42095</c:v>
                </c:pt>
                <c:pt idx="28" formatCode="mmm\-yy">
                  <c:v>42125</c:v>
                </c:pt>
                <c:pt idx="29" formatCode="mmm\-yy">
                  <c:v>42156</c:v>
                </c:pt>
                <c:pt idx="30" formatCode="mmm\-yy">
                  <c:v>42186</c:v>
                </c:pt>
                <c:pt idx="31" formatCode="mmm\-yy">
                  <c:v>42217</c:v>
                </c:pt>
                <c:pt idx="32" formatCode="mmm\-yy">
                  <c:v>42248</c:v>
                </c:pt>
                <c:pt idx="33" formatCode="mmm\-yy">
                  <c:v>42278</c:v>
                </c:pt>
                <c:pt idx="34" formatCode="mmm\-yy">
                  <c:v>42309</c:v>
                </c:pt>
                <c:pt idx="35" formatCode="mmm\-yy">
                  <c:v>42339</c:v>
                </c:pt>
                <c:pt idx="36" formatCode="mmm\-yy">
                  <c:v>42370</c:v>
                </c:pt>
                <c:pt idx="37" formatCode="mmm\-yy">
                  <c:v>42401</c:v>
                </c:pt>
                <c:pt idx="38" formatCode="mmm\-yy">
                  <c:v>42430</c:v>
                </c:pt>
                <c:pt idx="39" formatCode="mmm\-yy">
                  <c:v>42461</c:v>
                </c:pt>
                <c:pt idx="40" formatCode="mmm\-yy">
                  <c:v>42491</c:v>
                </c:pt>
                <c:pt idx="41" formatCode="mmm\-yy">
                  <c:v>42522</c:v>
                </c:pt>
                <c:pt idx="42" formatCode="mmm\-yy">
                  <c:v>42552</c:v>
                </c:pt>
                <c:pt idx="43" formatCode="mmm\-yy">
                  <c:v>42583</c:v>
                </c:pt>
                <c:pt idx="44" formatCode="mmm\-yy">
                  <c:v>42614</c:v>
                </c:pt>
                <c:pt idx="45" formatCode="mmm\-yy">
                  <c:v>42644</c:v>
                </c:pt>
                <c:pt idx="46" formatCode="mmm\-yy">
                  <c:v>42675</c:v>
                </c:pt>
                <c:pt idx="47" formatCode="mmm\-yy">
                  <c:v>42705</c:v>
                </c:pt>
                <c:pt idx="48" formatCode="mmm\-yy">
                  <c:v>42736</c:v>
                </c:pt>
                <c:pt idx="49" formatCode="mmm\-yy">
                  <c:v>42767</c:v>
                </c:pt>
                <c:pt idx="50" formatCode="mmm\-yy">
                  <c:v>42795</c:v>
                </c:pt>
                <c:pt idx="51" formatCode="mmm\-yy">
                  <c:v>42826</c:v>
                </c:pt>
                <c:pt idx="52" formatCode="mmm\-yy">
                  <c:v>42856</c:v>
                </c:pt>
                <c:pt idx="53" formatCode="mmm\-yy">
                  <c:v>42887</c:v>
                </c:pt>
                <c:pt idx="54" formatCode="mmm\-yy">
                  <c:v>42917</c:v>
                </c:pt>
                <c:pt idx="55" formatCode="mmm\-yy">
                  <c:v>42948</c:v>
                </c:pt>
                <c:pt idx="56" formatCode="mmm\-yy">
                  <c:v>42979</c:v>
                </c:pt>
                <c:pt idx="57" formatCode="mmm\-yy">
                  <c:v>43009</c:v>
                </c:pt>
                <c:pt idx="58" formatCode="mmm\-yy">
                  <c:v>43040</c:v>
                </c:pt>
                <c:pt idx="59" formatCode="mmm\-yy">
                  <c:v>43070</c:v>
                </c:pt>
                <c:pt idx="60" formatCode="mmm\-yy">
                  <c:v>43101</c:v>
                </c:pt>
                <c:pt idx="61" formatCode="mmm\-yy">
                  <c:v>43132</c:v>
                </c:pt>
              </c:numCache>
            </c:numRef>
          </c:cat>
          <c:val>
            <c:numRef>
              <c:f>Ridership!$K$6:$K$67</c:f>
              <c:numCache>
                <c:formatCode>_(* #,##0_);_(* \(#,##0\);_(* "-"??_);_(@_)</c:formatCode>
                <c:ptCount val="62"/>
                <c:pt idx="0">
                  <c:v>456</c:v>
                </c:pt>
                <c:pt idx="1">
                  <c:v>491</c:v>
                </c:pt>
                <c:pt idx="2">
                  <c:v>501</c:v>
                </c:pt>
                <c:pt idx="3">
                  <c:v>544</c:v>
                </c:pt>
                <c:pt idx="4">
                  <c:v>609.4</c:v>
                </c:pt>
                <c:pt idx="5">
                  <c:v>660.83333333333337</c:v>
                </c:pt>
                <c:pt idx="6">
                  <c:v>731.14285714285711</c:v>
                </c:pt>
                <c:pt idx="7">
                  <c:v>798.75</c:v>
                </c:pt>
                <c:pt idx="8">
                  <c:v>867.22222222222217</c:v>
                </c:pt>
                <c:pt idx="9">
                  <c:v>965.9</c:v>
                </c:pt>
                <c:pt idx="10">
                  <c:v>1057.8181818181818</c:v>
                </c:pt>
                <c:pt idx="11">
                  <c:v>1139.3333333333333</c:v>
                </c:pt>
                <c:pt idx="12">
                  <c:v>1201.3333333333333</c:v>
                </c:pt>
                <c:pt idx="13">
                  <c:v>1252.3333333333333</c:v>
                </c:pt>
                <c:pt idx="14">
                  <c:v>1297.6666666666667</c:v>
                </c:pt>
                <c:pt idx="15">
                  <c:v>1362.75</c:v>
                </c:pt>
                <c:pt idx="16">
                  <c:v>1408.8333333333333</c:v>
                </c:pt>
                <c:pt idx="17">
                  <c:v>1455</c:v>
                </c:pt>
                <c:pt idx="18">
                  <c:v>1487.25</c:v>
                </c:pt>
                <c:pt idx="19">
                  <c:v>1500.3333333333333</c:v>
                </c:pt>
                <c:pt idx="20">
                  <c:v>1514</c:v>
                </c:pt>
                <c:pt idx="21">
                  <c:v>1524.4166666666667</c:v>
                </c:pt>
                <c:pt idx="22">
                  <c:v>1549.1666666666667</c:v>
                </c:pt>
                <c:pt idx="23">
                  <c:v>1602.4166666666667</c:v>
                </c:pt>
                <c:pt idx="24">
                  <c:v>1670.4166666666667</c:v>
                </c:pt>
                <c:pt idx="25">
                  <c:v>1695.0833333333333</c:v>
                </c:pt>
                <c:pt idx="26">
                  <c:v>1726.8333333333333</c:v>
                </c:pt>
                <c:pt idx="27">
                  <c:v>1718.3333333333333</c:v>
                </c:pt>
                <c:pt idx="28">
                  <c:v>1707.25</c:v>
                </c:pt>
                <c:pt idx="29">
                  <c:v>1736.8333333333333</c:v>
                </c:pt>
                <c:pt idx="30">
                  <c:v>1745.9166666666667</c:v>
                </c:pt>
                <c:pt idx="31">
                  <c:v>1801.3333333333333</c:v>
                </c:pt>
                <c:pt idx="32">
                  <c:v>1939.25</c:v>
                </c:pt>
                <c:pt idx="33">
                  <c:v>2102</c:v>
                </c:pt>
                <c:pt idx="34">
                  <c:v>2243.9166666666665</c:v>
                </c:pt>
                <c:pt idx="35">
                  <c:v>2325.75</c:v>
                </c:pt>
                <c:pt idx="36">
                  <c:v>2393</c:v>
                </c:pt>
                <c:pt idx="37">
                  <c:v>2511.15</c:v>
                </c:pt>
                <c:pt idx="38">
                  <c:v>2656.7108974358976</c:v>
                </c:pt>
                <c:pt idx="39">
                  <c:v>2809.7108974358976</c:v>
                </c:pt>
                <c:pt idx="40">
                  <c:v>2993.2108974358976</c:v>
                </c:pt>
                <c:pt idx="41">
                  <c:v>3142.9608974358976</c:v>
                </c:pt>
                <c:pt idx="42">
                  <c:v>3291.7108974358976</c:v>
                </c:pt>
                <c:pt idx="43">
                  <c:v>3454.9608974358976</c:v>
                </c:pt>
                <c:pt idx="44">
                  <c:v>3491.7108974358976</c:v>
                </c:pt>
                <c:pt idx="45">
                  <c:v>3506.6275641025641</c:v>
                </c:pt>
                <c:pt idx="46">
                  <c:v>3554.7942307692306</c:v>
                </c:pt>
                <c:pt idx="47">
                  <c:v>3569.7942307692306</c:v>
                </c:pt>
                <c:pt idx="48">
                  <c:v>3593.3775641025641</c:v>
                </c:pt>
                <c:pt idx="49">
                  <c:v>3583.810897435897</c:v>
                </c:pt>
                <c:pt idx="50">
                  <c:v>3573.5</c:v>
                </c:pt>
                <c:pt idx="51">
                  <c:v>3539.9166666666665</c:v>
                </c:pt>
                <c:pt idx="52">
                  <c:v>3524.9166666666665</c:v>
                </c:pt>
                <c:pt idx="53">
                  <c:v>3507.4166666666665</c:v>
                </c:pt>
                <c:pt idx="54">
                  <c:v>3469.6666666666665</c:v>
                </c:pt>
                <c:pt idx="55">
                  <c:v>3499.8333333333335</c:v>
                </c:pt>
                <c:pt idx="56">
                  <c:v>3508.5</c:v>
                </c:pt>
                <c:pt idx="57">
                  <c:v>3513.6666666666665</c:v>
                </c:pt>
                <c:pt idx="58">
                  <c:v>3542.25</c:v>
                </c:pt>
                <c:pt idx="59">
                  <c:v>3607</c:v>
                </c:pt>
                <c:pt idx="60">
                  <c:v>3648.5833333333335</c:v>
                </c:pt>
                <c:pt idx="61">
                  <c:v>3669.25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14-2140-89E5-C28BC15D5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24800"/>
        <c:axId val="645306624"/>
      </c:lineChart>
      <c:dateAx>
        <c:axId val="64529920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645305088"/>
        <c:crosses val="autoZero"/>
        <c:auto val="1"/>
        <c:lblOffset val="100"/>
        <c:baseTimeUnit val="months"/>
      </c:dateAx>
      <c:valAx>
        <c:axId val="6453050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645299200"/>
        <c:crosses val="autoZero"/>
        <c:crossBetween val="between"/>
      </c:valAx>
      <c:valAx>
        <c:axId val="645306624"/>
        <c:scaling>
          <c:orientation val="minMax"/>
          <c:max val="5000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645324800"/>
        <c:crosses val="max"/>
        <c:crossBetween val="between"/>
      </c:valAx>
      <c:dateAx>
        <c:axId val="64532480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645306624"/>
        <c:crosses val="autoZero"/>
        <c:auto val="1"/>
        <c:lblOffset val="100"/>
        <c:baseTimeUnit val="months"/>
        <c:majorUnit val="1"/>
        <c:minorUnit val="1"/>
      </c:dateAx>
    </c:plotArea>
    <c:legend>
      <c:legendPos val="r"/>
      <c:overlay val="0"/>
    </c:legend>
    <c:plotVisOnly val="1"/>
    <c:dispBlanksAs val="zero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TODRiders!$A$7</c:f>
              <c:strCache>
                <c:ptCount val="1"/>
                <c:pt idx="0">
                  <c:v>Jan-15</c:v>
                </c:pt>
              </c:strCache>
            </c:strRef>
          </c:tx>
          <c:invertIfNegative val="0"/>
          <c:cat>
            <c:numRef>
              <c:f>TODRiders!$B$1:$T$1</c:f>
              <c:numCache>
                <c:formatCode>h:mm\ AM/PM</c:formatCode>
                <c:ptCount val="19"/>
                <c:pt idx="0">
                  <c:v>0.21875</c:v>
                </c:pt>
                <c:pt idx="1">
                  <c:v>0.26458333333333334</c:v>
                </c:pt>
                <c:pt idx="2">
                  <c:v>0.28680555555555554</c:v>
                </c:pt>
                <c:pt idx="3">
                  <c:v>0.30833333333333335</c:v>
                </c:pt>
                <c:pt idx="4">
                  <c:v>0.32916666666666666</c:v>
                </c:pt>
                <c:pt idx="5">
                  <c:v>0.35</c:v>
                </c:pt>
                <c:pt idx="6">
                  <c:v>0.37083333333333302</c:v>
                </c:pt>
                <c:pt idx="7">
                  <c:v>0.52361111111111103</c:v>
                </c:pt>
                <c:pt idx="8">
                  <c:v>0.54444444444444395</c:v>
                </c:pt>
                <c:pt idx="9">
                  <c:v>0.56527777777777777</c:v>
                </c:pt>
                <c:pt idx="10">
                  <c:v>0.58611111111111114</c:v>
                </c:pt>
                <c:pt idx="11">
                  <c:v>0.6069444444444444</c:v>
                </c:pt>
                <c:pt idx="12">
                  <c:v>0.62777777777777799</c:v>
                </c:pt>
                <c:pt idx="13">
                  <c:v>0.64861111111111103</c:v>
                </c:pt>
                <c:pt idx="14">
                  <c:v>0.66944444444444395</c:v>
                </c:pt>
                <c:pt idx="15">
                  <c:v>0.69027777777777699</c:v>
                </c:pt>
                <c:pt idx="16">
                  <c:v>0.71111111111111103</c:v>
                </c:pt>
                <c:pt idx="17">
                  <c:v>0.73194444444444395</c:v>
                </c:pt>
                <c:pt idx="18">
                  <c:v>0.75277777777777699</c:v>
                </c:pt>
              </c:numCache>
            </c:numRef>
          </c:cat>
          <c:val>
            <c:numRef>
              <c:f>TODRiders!$B$7:$T$7</c:f>
              <c:numCache>
                <c:formatCode>General</c:formatCode>
                <c:ptCount val="19"/>
                <c:pt idx="0">
                  <c:v>347</c:v>
                </c:pt>
                <c:pt idx="1">
                  <c:v>225</c:v>
                </c:pt>
                <c:pt idx="2">
                  <c:v>112</c:v>
                </c:pt>
                <c:pt idx="3">
                  <c:v>136</c:v>
                </c:pt>
                <c:pt idx="4">
                  <c:v>67</c:v>
                </c:pt>
                <c:pt idx="5">
                  <c:v>76</c:v>
                </c:pt>
                <c:pt idx="6">
                  <c:v>53</c:v>
                </c:pt>
                <c:pt idx="7">
                  <c:v>120</c:v>
                </c:pt>
                <c:pt idx="8">
                  <c:v>52</c:v>
                </c:pt>
                <c:pt idx="9">
                  <c:v>67</c:v>
                </c:pt>
                <c:pt idx="10">
                  <c:v>53</c:v>
                </c:pt>
                <c:pt idx="11">
                  <c:v>38</c:v>
                </c:pt>
                <c:pt idx="12">
                  <c:v>144</c:v>
                </c:pt>
                <c:pt idx="13">
                  <c:v>62</c:v>
                </c:pt>
                <c:pt idx="14">
                  <c:v>62</c:v>
                </c:pt>
                <c:pt idx="15">
                  <c:v>113</c:v>
                </c:pt>
                <c:pt idx="16">
                  <c:v>100</c:v>
                </c:pt>
                <c:pt idx="17">
                  <c:v>125</c:v>
                </c:pt>
                <c:pt idx="18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E-FB42-B51E-179FF55E0D5A}"/>
            </c:ext>
          </c:extLst>
        </c:ser>
        <c:ser>
          <c:idx val="4"/>
          <c:order val="1"/>
          <c:tx>
            <c:strRef>
              <c:f>TODRiders!$A$6</c:f>
              <c:strCache>
                <c:ptCount val="1"/>
                <c:pt idx="0">
                  <c:v>Feb-15</c:v>
                </c:pt>
              </c:strCache>
            </c:strRef>
          </c:tx>
          <c:invertIfNegative val="0"/>
          <c:cat>
            <c:numRef>
              <c:f>TODRiders!$B$1:$T$1</c:f>
              <c:numCache>
                <c:formatCode>h:mm\ AM/PM</c:formatCode>
                <c:ptCount val="19"/>
                <c:pt idx="0">
                  <c:v>0.21875</c:v>
                </c:pt>
                <c:pt idx="1">
                  <c:v>0.26458333333333334</c:v>
                </c:pt>
                <c:pt idx="2">
                  <c:v>0.28680555555555554</c:v>
                </c:pt>
                <c:pt idx="3">
                  <c:v>0.30833333333333335</c:v>
                </c:pt>
                <c:pt idx="4">
                  <c:v>0.32916666666666666</c:v>
                </c:pt>
                <c:pt idx="5">
                  <c:v>0.35</c:v>
                </c:pt>
                <c:pt idx="6">
                  <c:v>0.37083333333333302</c:v>
                </c:pt>
                <c:pt idx="7">
                  <c:v>0.52361111111111103</c:v>
                </c:pt>
                <c:pt idx="8">
                  <c:v>0.54444444444444395</c:v>
                </c:pt>
                <c:pt idx="9">
                  <c:v>0.56527777777777777</c:v>
                </c:pt>
                <c:pt idx="10">
                  <c:v>0.58611111111111114</c:v>
                </c:pt>
                <c:pt idx="11">
                  <c:v>0.6069444444444444</c:v>
                </c:pt>
                <c:pt idx="12">
                  <c:v>0.62777777777777799</c:v>
                </c:pt>
                <c:pt idx="13">
                  <c:v>0.64861111111111103</c:v>
                </c:pt>
                <c:pt idx="14">
                  <c:v>0.66944444444444395</c:v>
                </c:pt>
                <c:pt idx="15">
                  <c:v>0.69027777777777699</c:v>
                </c:pt>
                <c:pt idx="16">
                  <c:v>0.71111111111111103</c:v>
                </c:pt>
                <c:pt idx="17">
                  <c:v>0.73194444444444395</c:v>
                </c:pt>
                <c:pt idx="18">
                  <c:v>0.75277777777777699</c:v>
                </c:pt>
              </c:numCache>
            </c:numRef>
          </c:cat>
          <c:val>
            <c:numRef>
              <c:f>TODRiders!$B$6:$T$6</c:f>
              <c:numCache>
                <c:formatCode>General</c:formatCode>
                <c:ptCount val="19"/>
                <c:pt idx="0">
                  <c:v>261</c:v>
                </c:pt>
                <c:pt idx="1">
                  <c:v>207</c:v>
                </c:pt>
                <c:pt idx="2">
                  <c:v>55</c:v>
                </c:pt>
                <c:pt idx="3">
                  <c:v>102</c:v>
                </c:pt>
                <c:pt idx="4">
                  <c:v>15</c:v>
                </c:pt>
                <c:pt idx="5">
                  <c:v>56</c:v>
                </c:pt>
                <c:pt idx="6">
                  <c:v>41</c:v>
                </c:pt>
                <c:pt idx="7">
                  <c:v>75</c:v>
                </c:pt>
                <c:pt idx="8">
                  <c:v>46</c:v>
                </c:pt>
                <c:pt idx="9">
                  <c:v>52</c:v>
                </c:pt>
                <c:pt idx="10">
                  <c:v>39</c:v>
                </c:pt>
                <c:pt idx="11">
                  <c:v>36</c:v>
                </c:pt>
                <c:pt idx="12">
                  <c:v>75</c:v>
                </c:pt>
                <c:pt idx="13">
                  <c:v>47</c:v>
                </c:pt>
                <c:pt idx="14">
                  <c:v>70</c:v>
                </c:pt>
                <c:pt idx="15">
                  <c:v>80</c:v>
                </c:pt>
                <c:pt idx="16">
                  <c:v>71</c:v>
                </c:pt>
                <c:pt idx="17">
                  <c:v>70</c:v>
                </c:pt>
                <c:pt idx="1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E-FB42-B51E-179FF55E0D5A}"/>
            </c:ext>
          </c:extLst>
        </c:ser>
        <c:ser>
          <c:idx val="3"/>
          <c:order val="2"/>
          <c:tx>
            <c:strRef>
              <c:f>TODRiders!$A$5</c:f>
              <c:strCache>
                <c:ptCount val="1"/>
                <c:pt idx="0">
                  <c:v>Mar-15</c:v>
                </c:pt>
              </c:strCache>
            </c:strRef>
          </c:tx>
          <c:invertIfNegative val="0"/>
          <c:cat>
            <c:numRef>
              <c:f>TODRiders!$B$1:$T$1</c:f>
              <c:numCache>
                <c:formatCode>h:mm\ AM/PM</c:formatCode>
                <c:ptCount val="19"/>
                <c:pt idx="0">
                  <c:v>0.21875</c:v>
                </c:pt>
                <c:pt idx="1">
                  <c:v>0.26458333333333334</c:v>
                </c:pt>
                <c:pt idx="2">
                  <c:v>0.28680555555555554</c:v>
                </c:pt>
                <c:pt idx="3">
                  <c:v>0.30833333333333335</c:v>
                </c:pt>
                <c:pt idx="4">
                  <c:v>0.32916666666666666</c:v>
                </c:pt>
                <c:pt idx="5">
                  <c:v>0.35</c:v>
                </c:pt>
                <c:pt idx="6">
                  <c:v>0.37083333333333302</c:v>
                </c:pt>
                <c:pt idx="7">
                  <c:v>0.52361111111111103</c:v>
                </c:pt>
                <c:pt idx="8">
                  <c:v>0.54444444444444395</c:v>
                </c:pt>
                <c:pt idx="9">
                  <c:v>0.56527777777777777</c:v>
                </c:pt>
                <c:pt idx="10">
                  <c:v>0.58611111111111114</c:v>
                </c:pt>
                <c:pt idx="11">
                  <c:v>0.6069444444444444</c:v>
                </c:pt>
                <c:pt idx="12">
                  <c:v>0.62777777777777799</c:v>
                </c:pt>
                <c:pt idx="13">
                  <c:v>0.64861111111111103</c:v>
                </c:pt>
                <c:pt idx="14">
                  <c:v>0.66944444444444395</c:v>
                </c:pt>
                <c:pt idx="15">
                  <c:v>0.69027777777777699</c:v>
                </c:pt>
                <c:pt idx="16">
                  <c:v>0.71111111111111103</c:v>
                </c:pt>
                <c:pt idx="17">
                  <c:v>0.73194444444444395</c:v>
                </c:pt>
                <c:pt idx="18">
                  <c:v>0.75277777777777699</c:v>
                </c:pt>
              </c:numCache>
            </c:numRef>
          </c:cat>
          <c:val>
            <c:numRef>
              <c:f>TODRiders!$B$5:$T$5</c:f>
              <c:numCache>
                <c:formatCode>General</c:formatCode>
                <c:ptCount val="19"/>
                <c:pt idx="0">
                  <c:v>255</c:v>
                </c:pt>
                <c:pt idx="1">
                  <c:v>222</c:v>
                </c:pt>
                <c:pt idx="2">
                  <c:v>55</c:v>
                </c:pt>
                <c:pt idx="3">
                  <c:v>87</c:v>
                </c:pt>
                <c:pt idx="4">
                  <c:v>23</c:v>
                </c:pt>
                <c:pt idx="5">
                  <c:v>47</c:v>
                </c:pt>
                <c:pt idx="6">
                  <c:v>30</c:v>
                </c:pt>
                <c:pt idx="7">
                  <c:v>87</c:v>
                </c:pt>
                <c:pt idx="8">
                  <c:v>50</c:v>
                </c:pt>
                <c:pt idx="9">
                  <c:v>59</c:v>
                </c:pt>
                <c:pt idx="10">
                  <c:v>35</c:v>
                </c:pt>
                <c:pt idx="11">
                  <c:v>62</c:v>
                </c:pt>
                <c:pt idx="12">
                  <c:v>100</c:v>
                </c:pt>
                <c:pt idx="13">
                  <c:v>64</c:v>
                </c:pt>
                <c:pt idx="14">
                  <c:v>56</c:v>
                </c:pt>
                <c:pt idx="15">
                  <c:v>91</c:v>
                </c:pt>
                <c:pt idx="16">
                  <c:v>54</c:v>
                </c:pt>
                <c:pt idx="17">
                  <c:v>34</c:v>
                </c:pt>
                <c:pt idx="1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AE-FB42-B51E-179FF55E0D5A}"/>
            </c:ext>
          </c:extLst>
        </c:ser>
        <c:ser>
          <c:idx val="2"/>
          <c:order val="3"/>
          <c:tx>
            <c:strRef>
              <c:f>TODRiders!$A$4</c:f>
              <c:strCache>
                <c:ptCount val="1"/>
                <c:pt idx="0">
                  <c:v>Apr-15</c:v>
                </c:pt>
              </c:strCache>
            </c:strRef>
          </c:tx>
          <c:invertIfNegative val="0"/>
          <c:cat>
            <c:numRef>
              <c:f>TODRiders!$B$1:$T$1</c:f>
              <c:numCache>
                <c:formatCode>h:mm\ AM/PM</c:formatCode>
                <c:ptCount val="19"/>
                <c:pt idx="0">
                  <c:v>0.21875</c:v>
                </c:pt>
                <c:pt idx="1">
                  <c:v>0.26458333333333334</c:v>
                </c:pt>
                <c:pt idx="2">
                  <c:v>0.28680555555555554</c:v>
                </c:pt>
                <c:pt idx="3">
                  <c:v>0.30833333333333335</c:v>
                </c:pt>
                <c:pt idx="4">
                  <c:v>0.32916666666666666</c:v>
                </c:pt>
                <c:pt idx="5">
                  <c:v>0.35</c:v>
                </c:pt>
                <c:pt idx="6">
                  <c:v>0.37083333333333302</c:v>
                </c:pt>
                <c:pt idx="7">
                  <c:v>0.52361111111111103</c:v>
                </c:pt>
                <c:pt idx="8">
                  <c:v>0.54444444444444395</c:v>
                </c:pt>
                <c:pt idx="9">
                  <c:v>0.56527777777777777</c:v>
                </c:pt>
                <c:pt idx="10">
                  <c:v>0.58611111111111114</c:v>
                </c:pt>
                <c:pt idx="11">
                  <c:v>0.6069444444444444</c:v>
                </c:pt>
                <c:pt idx="12">
                  <c:v>0.62777777777777799</c:v>
                </c:pt>
                <c:pt idx="13">
                  <c:v>0.64861111111111103</c:v>
                </c:pt>
                <c:pt idx="14">
                  <c:v>0.66944444444444395</c:v>
                </c:pt>
                <c:pt idx="15">
                  <c:v>0.69027777777777699</c:v>
                </c:pt>
                <c:pt idx="16">
                  <c:v>0.71111111111111103</c:v>
                </c:pt>
                <c:pt idx="17">
                  <c:v>0.73194444444444395</c:v>
                </c:pt>
                <c:pt idx="18">
                  <c:v>0.75277777777777699</c:v>
                </c:pt>
              </c:numCache>
            </c:numRef>
          </c:cat>
          <c:val>
            <c:numRef>
              <c:f>TODRiders!$B$4:$T$4</c:f>
              <c:numCache>
                <c:formatCode>General</c:formatCode>
                <c:ptCount val="19"/>
                <c:pt idx="0">
                  <c:v>221</c:v>
                </c:pt>
                <c:pt idx="1">
                  <c:v>203</c:v>
                </c:pt>
                <c:pt idx="2">
                  <c:v>67</c:v>
                </c:pt>
                <c:pt idx="3">
                  <c:v>76</c:v>
                </c:pt>
                <c:pt idx="4">
                  <c:v>28</c:v>
                </c:pt>
                <c:pt idx="5">
                  <c:v>54</c:v>
                </c:pt>
                <c:pt idx="6">
                  <c:v>40</c:v>
                </c:pt>
                <c:pt idx="7">
                  <c:v>51</c:v>
                </c:pt>
                <c:pt idx="8">
                  <c:v>41</c:v>
                </c:pt>
                <c:pt idx="9">
                  <c:v>63</c:v>
                </c:pt>
                <c:pt idx="10">
                  <c:v>30</c:v>
                </c:pt>
                <c:pt idx="11">
                  <c:v>45</c:v>
                </c:pt>
                <c:pt idx="12">
                  <c:v>89</c:v>
                </c:pt>
                <c:pt idx="13">
                  <c:v>42</c:v>
                </c:pt>
                <c:pt idx="14">
                  <c:v>49</c:v>
                </c:pt>
                <c:pt idx="15">
                  <c:v>84</c:v>
                </c:pt>
                <c:pt idx="16">
                  <c:v>65</c:v>
                </c:pt>
                <c:pt idx="17">
                  <c:v>46</c:v>
                </c:pt>
                <c:pt idx="1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AE-FB42-B51E-179FF55E0D5A}"/>
            </c:ext>
          </c:extLst>
        </c:ser>
        <c:ser>
          <c:idx val="1"/>
          <c:order val="4"/>
          <c:tx>
            <c:strRef>
              <c:f>TODRiders!$A$3</c:f>
              <c:strCache>
                <c:ptCount val="1"/>
                <c:pt idx="0">
                  <c:v>May-15</c:v>
                </c:pt>
              </c:strCache>
            </c:strRef>
          </c:tx>
          <c:invertIfNegative val="0"/>
          <c:cat>
            <c:numRef>
              <c:f>TODRiders!$B$1:$T$1</c:f>
              <c:numCache>
                <c:formatCode>h:mm\ AM/PM</c:formatCode>
                <c:ptCount val="19"/>
                <c:pt idx="0">
                  <c:v>0.21875</c:v>
                </c:pt>
                <c:pt idx="1">
                  <c:v>0.26458333333333334</c:v>
                </c:pt>
                <c:pt idx="2">
                  <c:v>0.28680555555555554</c:v>
                </c:pt>
                <c:pt idx="3">
                  <c:v>0.30833333333333335</c:v>
                </c:pt>
                <c:pt idx="4">
                  <c:v>0.32916666666666666</c:v>
                </c:pt>
                <c:pt idx="5">
                  <c:v>0.35</c:v>
                </c:pt>
                <c:pt idx="6">
                  <c:v>0.37083333333333302</c:v>
                </c:pt>
                <c:pt idx="7">
                  <c:v>0.52361111111111103</c:v>
                </c:pt>
                <c:pt idx="8">
                  <c:v>0.54444444444444395</c:v>
                </c:pt>
                <c:pt idx="9">
                  <c:v>0.56527777777777777</c:v>
                </c:pt>
                <c:pt idx="10">
                  <c:v>0.58611111111111114</c:v>
                </c:pt>
                <c:pt idx="11">
                  <c:v>0.6069444444444444</c:v>
                </c:pt>
                <c:pt idx="12">
                  <c:v>0.62777777777777799</c:v>
                </c:pt>
                <c:pt idx="13">
                  <c:v>0.64861111111111103</c:v>
                </c:pt>
                <c:pt idx="14">
                  <c:v>0.66944444444444395</c:v>
                </c:pt>
                <c:pt idx="15">
                  <c:v>0.69027777777777699</c:v>
                </c:pt>
                <c:pt idx="16">
                  <c:v>0.71111111111111103</c:v>
                </c:pt>
                <c:pt idx="17">
                  <c:v>0.73194444444444395</c:v>
                </c:pt>
                <c:pt idx="18">
                  <c:v>0.75277777777777699</c:v>
                </c:pt>
              </c:numCache>
            </c:numRef>
          </c:cat>
          <c:val>
            <c:numRef>
              <c:f>TODRiders!$B$3:$T$3</c:f>
              <c:numCache>
                <c:formatCode>General</c:formatCode>
                <c:ptCount val="19"/>
                <c:pt idx="0">
                  <c:v>205</c:v>
                </c:pt>
                <c:pt idx="1">
                  <c:v>209</c:v>
                </c:pt>
                <c:pt idx="2">
                  <c:v>91</c:v>
                </c:pt>
                <c:pt idx="3">
                  <c:v>51</c:v>
                </c:pt>
                <c:pt idx="4">
                  <c:v>35</c:v>
                </c:pt>
                <c:pt idx="5">
                  <c:v>44</c:v>
                </c:pt>
                <c:pt idx="6">
                  <c:v>38</c:v>
                </c:pt>
                <c:pt idx="7">
                  <c:v>43</c:v>
                </c:pt>
                <c:pt idx="8">
                  <c:v>42</c:v>
                </c:pt>
                <c:pt idx="9">
                  <c:v>28</c:v>
                </c:pt>
                <c:pt idx="10">
                  <c:v>40</c:v>
                </c:pt>
                <c:pt idx="11">
                  <c:v>60</c:v>
                </c:pt>
                <c:pt idx="12">
                  <c:v>99</c:v>
                </c:pt>
                <c:pt idx="13">
                  <c:v>48</c:v>
                </c:pt>
                <c:pt idx="14">
                  <c:v>36</c:v>
                </c:pt>
                <c:pt idx="15">
                  <c:v>62</c:v>
                </c:pt>
                <c:pt idx="16">
                  <c:v>68</c:v>
                </c:pt>
                <c:pt idx="17">
                  <c:v>42</c:v>
                </c:pt>
                <c:pt idx="1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AE-FB42-B51E-179FF55E0D5A}"/>
            </c:ext>
          </c:extLst>
        </c:ser>
        <c:ser>
          <c:idx val="0"/>
          <c:order val="5"/>
          <c:tx>
            <c:strRef>
              <c:f>TODRiders!$A$2</c:f>
              <c:strCache>
                <c:ptCount val="1"/>
                <c:pt idx="0">
                  <c:v>Jun-15</c:v>
                </c:pt>
              </c:strCache>
            </c:strRef>
          </c:tx>
          <c:invertIfNegative val="0"/>
          <c:cat>
            <c:numRef>
              <c:f>TODRiders!$B$1:$T$1</c:f>
              <c:numCache>
                <c:formatCode>h:mm\ AM/PM</c:formatCode>
                <c:ptCount val="19"/>
                <c:pt idx="0">
                  <c:v>0.21875</c:v>
                </c:pt>
                <c:pt idx="1">
                  <c:v>0.26458333333333334</c:v>
                </c:pt>
                <c:pt idx="2">
                  <c:v>0.28680555555555554</c:v>
                </c:pt>
                <c:pt idx="3">
                  <c:v>0.30833333333333335</c:v>
                </c:pt>
                <c:pt idx="4">
                  <c:v>0.32916666666666666</c:v>
                </c:pt>
                <c:pt idx="5">
                  <c:v>0.35</c:v>
                </c:pt>
                <c:pt idx="6">
                  <c:v>0.37083333333333302</c:v>
                </c:pt>
                <c:pt idx="7">
                  <c:v>0.52361111111111103</c:v>
                </c:pt>
                <c:pt idx="8">
                  <c:v>0.54444444444444395</c:v>
                </c:pt>
                <c:pt idx="9">
                  <c:v>0.56527777777777777</c:v>
                </c:pt>
                <c:pt idx="10">
                  <c:v>0.58611111111111114</c:v>
                </c:pt>
                <c:pt idx="11">
                  <c:v>0.6069444444444444</c:v>
                </c:pt>
                <c:pt idx="12">
                  <c:v>0.62777777777777799</c:v>
                </c:pt>
                <c:pt idx="13">
                  <c:v>0.64861111111111103</c:v>
                </c:pt>
                <c:pt idx="14">
                  <c:v>0.66944444444444395</c:v>
                </c:pt>
                <c:pt idx="15">
                  <c:v>0.69027777777777699</c:v>
                </c:pt>
                <c:pt idx="16">
                  <c:v>0.71111111111111103</c:v>
                </c:pt>
                <c:pt idx="17">
                  <c:v>0.73194444444444395</c:v>
                </c:pt>
                <c:pt idx="18">
                  <c:v>0.75277777777777699</c:v>
                </c:pt>
              </c:numCache>
            </c:numRef>
          </c:cat>
          <c:val>
            <c:numRef>
              <c:f>TODRiders!$B$2:$T$2</c:f>
              <c:numCache>
                <c:formatCode>General</c:formatCode>
                <c:ptCount val="19"/>
                <c:pt idx="0">
                  <c:v>189</c:v>
                </c:pt>
                <c:pt idx="1">
                  <c:v>199</c:v>
                </c:pt>
                <c:pt idx="2">
                  <c:v>104</c:v>
                </c:pt>
                <c:pt idx="3">
                  <c:v>101</c:v>
                </c:pt>
                <c:pt idx="4">
                  <c:v>39</c:v>
                </c:pt>
                <c:pt idx="5">
                  <c:v>0</c:v>
                </c:pt>
                <c:pt idx="6">
                  <c:v>38</c:v>
                </c:pt>
                <c:pt idx="7">
                  <c:v>56</c:v>
                </c:pt>
                <c:pt idx="8">
                  <c:v>31</c:v>
                </c:pt>
                <c:pt idx="9">
                  <c:v>54</c:v>
                </c:pt>
                <c:pt idx="10">
                  <c:v>4</c:v>
                </c:pt>
                <c:pt idx="11">
                  <c:v>48</c:v>
                </c:pt>
                <c:pt idx="12">
                  <c:v>108</c:v>
                </c:pt>
                <c:pt idx="13">
                  <c:v>6</c:v>
                </c:pt>
                <c:pt idx="14">
                  <c:v>32</c:v>
                </c:pt>
                <c:pt idx="15">
                  <c:v>0</c:v>
                </c:pt>
                <c:pt idx="16">
                  <c:v>37</c:v>
                </c:pt>
                <c:pt idx="17">
                  <c:v>6</c:v>
                </c:pt>
                <c:pt idx="18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AE-FB42-B51E-179FF55E0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42976"/>
        <c:axId val="732144768"/>
      </c:barChart>
      <c:catAx>
        <c:axId val="732142976"/>
        <c:scaling>
          <c:orientation val="minMax"/>
        </c:scaling>
        <c:delete val="0"/>
        <c:axPos val="b"/>
        <c:numFmt formatCode="h:mm\ AM/PM" sourceLinked="1"/>
        <c:majorTickMark val="out"/>
        <c:minorTickMark val="none"/>
        <c:tickLblPos val="nextTo"/>
        <c:crossAx val="732144768"/>
        <c:crosses val="autoZero"/>
        <c:auto val="1"/>
        <c:lblAlgn val="ctr"/>
        <c:lblOffset val="100"/>
        <c:noMultiLvlLbl val="0"/>
      </c:catAx>
      <c:valAx>
        <c:axId val="73214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2142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4"/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1"/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2"/>
  <sheetViews>
    <sheetView zoomScale="118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5"/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3"/>
  <sheetViews>
    <sheetView zoomScale="120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/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 codeName="Chart9"/>
  <sheetViews>
    <sheetView zoomScale="11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B3:O67"/>
  <sheetViews>
    <sheetView tabSelected="1" topLeftCell="G5" zoomScaleNormal="100" workbookViewId="0">
      <pane ySplit="620" topLeftCell="A33" activePane="bottomLeft"/>
      <selection activeCell="P5" sqref="P1:AX1048576"/>
      <selection pane="bottomLeft" activeCell="Y9" sqref="Y9"/>
    </sheetView>
  </sheetViews>
  <sheetFormatPr baseColWidth="10" defaultColWidth="8.83203125" defaultRowHeight="15" x14ac:dyDescent="0.2"/>
  <cols>
    <col min="1" max="6" width="0" hidden="1" customWidth="1"/>
    <col min="7" max="7" width="9.6640625" bestFit="1" customWidth="1"/>
    <col min="8" max="8" width="9.5" bestFit="1" customWidth="1"/>
    <col min="9" max="9" width="9.33203125" bestFit="1" customWidth="1"/>
    <col min="10" max="11" width="9.5" bestFit="1" customWidth="1"/>
    <col min="14" max="15" width="9.1640625" hidden="1" customWidth="1"/>
  </cols>
  <sheetData>
    <row r="3" spans="2:15" ht="16" thickBot="1" x14ac:dyDescent="0.25">
      <c r="C3" s="1" t="s">
        <v>0</v>
      </c>
    </row>
    <row r="4" spans="2:15" ht="31" thickBot="1" x14ac:dyDescent="0.25">
      <c r="B4" s="2" t="s">
        <v>1</v>
      </c>
      <c r="C4" s="3" t="s">
        <v>2</v>
      </c>
      <c r="D4" s="3" t="s">
        <v>3</v>
      </c>
    </row>
    <row r="5" spans="2:15" ht="16" thickBot="1" x14ac:dyDescent="0.25">
      <c r="B5" s="4">
        <v>41214</v>
      </c>
      <c r="C5" s="5">
        <v>885</v>
      </c>
      <c r="D5" s="6">
        <v>10.37</v>
      </c>
      <c r="G5" t="s">
        <v>28</v>
      </c>
      <c r="H5" t="s">
        <v>132</v>
      </c>
      <c r="I5" t="s">
        <v>133</v>
      </c>
      <c r="J5" t="s">
        <v>129</v>
      </c>
      <c r="K5" t="s">
        <v>130</v>
      </c>
      <c r="L5" t="s">
        <v>131</v>
      </c>
      <c r="M5" t="s">
        <v>58</v>
      </c>
      <c r="N5" t="s">
        <v>26</v>
      </c>
      <c r="O5" t="s">
        <v>25</v>
      </c>
    </row>
    <row r="6" spans="2:15" ht="16" thickBot="1" x14ac:dyDescent="0.25">
      <c r="B6" s="4">
        <v>41244</v>
      </c>
      <c r="C6" s="5">
        <v>998</v>
      </c>
      <c r="D6" s="6">
        <v>10.69</v>
      </c>
      <c r="G6" s="180">
        <v>41275</v>
      </c>
      <c r="H6" s="93">
        <v>456</v>
      </c>
      <c r="I6" s="93">
        <v>0</v>
      </c>
      <c r="J6" s="93">
        <v>0</v>
      </c>
      <c r="K6" s="179">
        <f>SUM(H$6:H6)/1</f>
        <v>456</v>
      </c>
      <c r="M6" s="93">
        <f t="shared" ref="M6:M54" si="0">SUM(H6:J6)</f>
        <v>456</v>
      </c>
      <c r="N6" s="179">
        <f t="shared" ref="N6:N14" si="1">N7-((2274-1977)/12)</f>
        <v>1729.5</v>
      </c>
      <c r="O6" s="179">
        <f t="shared" ref="O6:O13" si="2">O7-((1979-1854)/12)</f>
        <v>1760.2499999999993</v>
      </c>
    </row>
    <row r="7" spans="2:15" ht="16" thickBot="1" x14ac:dyDescent="0.25">
      <c r="B7" s="4">
        <v>41275</v>
      </c>
      <c r="C7" s="5">
        <v>456</v>
      </c>
      <c r="D7" s="6">
        <v>26.69</v>
      </c>
      <c r="G7" s="180">
        <v>41306</v>
      </c>
      <c r="H7" s="93">
        <v>526</v>
      </c>
      <c r="I7" s="93">
        <v>0</v>
      </c>
      <c r="J7" s="93">
        <v>0</v>
      </c>
      <c r="K7" s="179">
        <f>SUM(H$6:H7)/2</f>
        <v>491</v>
      </c>
      <c r="M7" s="93">
        <f t="shared" si="0"/>
        <v>526</v>
      </c>
      <c r="N7" s="179">
        <f t="shared" si="1"/>
        <v>1754.25</v>
      </c>
      <c r="O7" s="179">
        <f t="shared" si="2"/>
        <v>1770.6666666666661</v>
      </c>
    </row>
    <row r="8" spans="2:15" ht="16" thickBot="1" x14ac:dyDescent="0.25">
      <c r="B8" s="4">
        <v>41306</v>
      </c>
      <c r="C8" s="5">
        <v>526</v>
      </c>
      <c r="D8" s="6">
        <v>21.03</v>
      </c>
      <c r="G8" s="180">
        <v>41334</v>
      </c>
      <c r="H8" s="93">
        <v>521</v>
      </c>
      <c r="I8" s="93">
        <v>0</v>
      </c>
      <c r="J8" s="93">
        <v>0</v>
      </c>
      <c r="K8" s="179">
        <f>SUM(H$6:H8)/3</f>
        <v>501</v>
      </c>
      <c r="M8" s="93">
        <f t="shared" si="0"/>
        <v>521</v>
      </c>
      <c r="N8" s="179">
        <f t="shared" si="1"/>
        <v>1779</v>
      </c>
      <c r="O8" s="179">
        <f t="shared" si="2"/>
        <v>1781.0833333333328</v>
      </c>
    </row>
    <row r="9" spans="2:15" ht="16" thickBot="1" x14ac:dyDescent="0.25">
      <c r="B9" s="4">
        <v>41334</v>
      </c>
      <c r="C9" s="5">
        <v>521</v>
      </c>
      <c r="D9" s="6">
        <v>21.13</v>
      </c>
      <c r="G9" s="180">
        <v>41365</v>
      </c>
      <c r="H9" s="93">
        <v>673</v>
      </c>
      <c r="I9" s="93">
        <v>0</v>
      </c>
      <c r="J9" s="93">
        <v>0</v>
      </c>
      <c r="K9" s="179">
        <f>SUM(H$6:H9)/4</f>
        <v>544</v>
      </c>
      <c r="M9" s="93">
        <f t="shared" si="0"/>
        <v>673</v>
      </c>
      <c r="N9" s="179">
        <f t="shared" si="1"/>
        <v>1803.75</v>
      </c>
      <c r="O9" s="179">
        <f t="shared" si="2"/>
        <v>1791.4999999999995</v>
      </c>
    </row>
    <row r="10" spans="2:15" ht="16" thickBot="1" x14ac:dyDescent="0.25">
      <c r="B10" s="4">
        <v>41365</v>
      </c>
      <c r="C10" s="5">
        <v>673</v>
      </c>
      <c r="D10" s="6">
        <v>17.98</v>
      </c>
      <c r="G10" s="180">
        <v>41395</v>
      </c>
      <c r="H10" s="93">
        <v>871</v>
      </c>
      <c r="I10" s="93">
        <v>0</v>
      </c>
      <c r="J10" s="93">
        <v>0</v>
      </c>
      <c r="K10" s="179">
        <f>SUM(H$6:H10)/5</f>
        <v>609.4</v>
      </c>
      <c r="M10" s="93">
        <f t="shared" si="0"/>
        <v>871</v>
      </c>
      <c r="N10" s="179">
        <f t="shared" si="1"/>
        <v>1828.5</v>
      </c>
      <c r="O10" s="179">
        <f t="shared" si="2"/>
        <v>1801.9166666666663</v>
      </c>
    </row>
    <row r="11" spans="2:15" ht="16" thickBot="1" x14ac:dyDescent="0.25">
      <c r="B11" s="4">
        <v>41395</v>
      </c>
      <c r="C11" s="5">
        <v>871</v>
      </c>
      <c r="D11" s="6">
        <v>13.92</v>
      </c>
      <c r="G11" s="180">
        <v>41426</v>
      </c>
      <c r="H11" s="93">
        <v>918</v>
      </c>
      <c r="I11" s="93">
        <v>0</v>
      </c>
      <c r="J11" s="93">
        <v>0</v>
      </c>
      <c r="K11" s="179">
        <f>SUM(H$6:H11)/6</f>
        <v>660.83333333333337</v>
      </c>
      <c r="M11" s="93">
        <f t="shared" si="0"/>
        <v>918</v>
      </c>
      <c r="N11" s="179">
        <f t="shared" si="1"/>
        <v>1853.25</v>
      </c>
      <c r="O11" s="179">
        <f t="shared" si="2"/>
        <v>1812.333333333333</v>
      </c>
    </row>
    <row r="12" spans="2:15" ht="16" thickBot="1" x14ac:dyDescent="0.25">
      <c r="B12" s="7" t="s">
        <v>4</v>
      </c>
      <c r="C12" s="5">
        <v>918</v>
      </c>
      <c r="D12" s="6">
        <v>12.05</v>
      </c>
      <c r="G12" s="180">
        <v>41456</v>
      </c>
      <c r="H12" s="93">
        <v>1153</v>
      </c>
      <c r="I12" s="93">
        <v>0</v>
      </c>
      <c r="J12" s="93">
        <v>0</v>
      </c>
      <c r="K12" s="179">
        <f>SUM(H$6:H12)/7</f>
        <v>731.14285714285711</v>
      </c>
      <c r="M12" s="93">
        <f t="shared" si="0"/>
        <v>1153</v>
      </c>
      <c r="N12" s="179">
        <f t="shared" si="1"/>
        <v>1878</v>
      </c>
      <c r="O12" s="179">
        <f t="shared" si="2"/>
        <v>1822.7499999999998</v>
      </c>
    </row>
    <row r="13" spans="2:15" ht="16" thickBot="1" x14ac:dyDescent="0.25">
      <c r="B13" s="7" t="s">
        <v>5</v>
      </c>
      <c r="C13" s="5">
        <v>1153</v>
      </c>
      <c r="D13" s="6">
        <v>10.56</v>
      </c>
      <c r="G13" s="180">
        <v>41487</v>
      </c>
      <c r="H13" s="93">
        <v>1272</v>
      </c>
      <c r="I13" s="93">
        <v>0</v>
      </c>
      <c r="J13" s="93">
        <v>0</v>
      </c>
      <c r="K13" s="179">
        <f>SUM(H$6:H13)/8</f>
        <v>798.75</v>
      </c>
      <c r="M13" s="93">
        <f t="shared" si="0"/>
        <v>1272</v>
      </c>
      <c r="N13" s="179">
        <f t="shared" si="1"/>
        <v>1902.75</v>
      </c>
      <c r="O13" s="179">
        <f t="shared" si="2"/>
        <v>1833.1666666666665</v>
      </c>
    </row>
    <row r="14" spans="2:15" ht="16" thickBot="1" x14ac:dyDescent="0.25">
      <c r="B14" s="7" t="s">
        <v>6</v>
      </c>
      <c r="C14" s="5">
        <v>1272</v>
      </c>
      <c r="D14" s="6">
        <v>9.57</v>
      </c>
      <c r="G14" s="180">
        <v>41518</v>
      </c>
      <c r="H14" s="93">
        <v>1415</v>
      </c>
      <c r="I14" s="93">
        <v>0</v>
      </c>
      <c r="J14" s="93">
        <v>0</v>
      </c>
      <c r="K14" s="179">
        <f>SUM(H$6:H14)/9</f>
        <v>867.22222222222217</v>
      </c>
      <c r="M14" s="93">
        <f t="shared" si="0"/>
        <v>1415</v>
      </c>
      <c r="N14" s="179">
        <f t="shared" si="1"/>
        <v>1927.5</v>
      </c>
      <c r="O14" s="179">
        <f>O15-((1979-1854)/12)</f>
        <v>1843.5833333333333</v>
      </c>
    </row>
    <row r="15" spans="2:15" ht="16" thickBot="1" x14ac:dyDescent="0.25">
      <c r="B15" s="7" t="s">
        <v>7</v>
      </c>
      <c r="C15" s="5">
        <v>1415</v>
      </c>
      <c r="D15" s="6">
        <v>7.82</v>
      </c>
      <c r="G15" s="180">
        <v>41548</v>
      </c>
      <c r="H15" s="93">
        <v>1854</v>
      </c>
      <c r="I15" s="93">
        <v>0</v>
      </c>
      <c r="J15" s="93">
        <v>0</v>
      </c>
      <c r="K15" s="179">
        <f>SUM(H$6:H15)/10</f>
        <v>965.9</v>
      </c>
      <c r="M15" s="93">
        <f t="shared" si="0"/>
        <v>1854</v>
      </c>
      <c r="N15" s="179">
        <f>N16-((2274-1977)/12)</f>
        <v>1952.25</v>
      </c>
      <c r="O15" s="179">
        <f>H15</f>
        <v>1854</v>
      </c>
    </row>
    <row r="16" spans="2:15" ht="16" thickBot="1" x14ac:dyDescent="0.25">
      <c r="B16" s="7" t="s">
        <v>8</v>
      </c>
      <c r="C16" s="5">
        <v>1854</v>
      </c>
      <c r="D16" s="6">
        <v>6.86</v>
      </c>
      <c r="G16" s="180">
        <v>41579</v>
      </c>
      <c r="H16" s="93">
        <v>1977</v>
      </c>
      <c r="I16" s="93">
        <v>0</v>
      </c>
      <c r="J16" s="93">
        <v>0</v>
      </c>
      <c r="K16" s="179">
        <f>SUM(H$6:H16)/11</f>
        <v>1057.8181818181818</v>
      </c>
      <c r="M16" s="93">
        <f t="shared" si="0"/>
        <v>1977</v>
      </c>
      <c r="N16" s="179">
        <f>H16</f>
        <v>1977</v>
      </c>
      <c r="O16" s="179">
        <f>O15+((1979-1854)/12)</f>
        <v>1864.4166666666667</v>
      </c>
    </row>
    <row r="17" spans="2:15" ht="16" thickBot="1" x14ac:dyDescent="0.25">
      <c r="B17" s="7" t="s">
        <v>9</v>
      </c>
      <c r="C17" s="5">
        <v>1977</v>
      </c>
      <c r="D17" s="6">
        <v>5.6</v>
      </c>
      <c r="G17" s="180">
        <v>41609</v>
      </c>
      <c r="H17" s="93">
        <v>2036</v>
      </c>
      <c r="I17" s="93">
        <v>0</v>
      </c>
      <c r="J17" s="93">
        <v>0</v>
      </c>
      <c r="K17" s="179">
        <f t="shared" ref="K17:K44" si="3">AVERAGE(M6:M17)</f>
        <v>1139.3333333333333</v>
      </c>
      <c r="L17" s="179">
        <f t="shared" ref="L17:L44" si="4">AVERAGE(H6:H17)</f>
        <v>1139.3333333333333</v>
      </c>
      <c r="M17" s="93">
        <f t="shared" si="0"/>
        <v>2036</v>
      </c>
      <c r="N17" s="179">
        <f>N16+((2274-1977)/12)</f>
        <v>2001.75</v>
      </c>
      <c r="O17" s="179">
        <f t="shared" ref="O17:O26" si="5">O16+((1979-1854)/12)</f>
        <v>1874.8333333333335</v>
      </c>
    </row>
    <row r="18" spans="2:15" ht="16" thickBot="1" x14ac:dyDescent="0.25">
      <c r="B18" s="7" t="s">
        <v>10</v>
      </c>
      <c r="C18" s="5">
        <v>2036</v>
      </c>
      <c r="D18" s="6">
        <v>5.99</v>
      </c>
      <c r="G18" s="180">
        <v>41640</v>
      </c>
      <c r="H18" s="93">
        <v>1200</v>
      </c>
      <c r="I18" s="93">
        <v>0</v>
      </c>
      <c r="J18" s="93">
        <v>0</v>
      </c>
      <c r="K18" s="179">
        <f t="shared" si="3"/>
        <v>1201.3333333333333</v>
      </c>
      <c r="L18" s="179">
        <f t="shared" si="4"/>
        <v>1201.3333333333333</v>
      </c>
      <c r="M18" s="93">
        <f t="shared" si="0"/>
        <v>1200</v>
      </c>
      <c r="N18" s="179">
        <f t="shared" ref="N18:N27" si="6">N17+((2274-1977)/12)</f>
        <v>2026.5</v>
      </c>
      <c r="O18" s="179">
        <f t="shared" si="5"/>
        <v>1885.2500000000002</v>
      </c>
    </row>
    <row r="19" spans="2:15" ht="16" thickBot="1" x14ac:dyDescent="0.25">
      <c r="B19" s="7" t="s">
        <v>11</v>
      </c>
      <c r="C19" s="5">
        <v>1200</v>
      </c>
      <c r="D19" s="6">
        <v>9.68</v>
      </c>
      <c r="G19" s="180">
        <v>41671</v>
      </c>
      <c r="H19" s="93">
        <v>1138</v>
      </c>
      <c r="I19" s="93">
        <v>0</v>
      </c>
      <c r="J19" s="93">
        <v>0</v>
      </c>
      <c r="K19" s="179">
        <f t="shared" si="3"/>
        <v>1252.3333333333333</v>
      </c>
      <c r="L19" s="179">
        <f t="shared" si="4"/>
        <v>1252.3333333333333</v>
      </c>
      <c r="M19" s="93">
        <f t="shared" si="0"/>
        <v>1138</v>
      </c>
      <c r="N19" s="179">
        <f t="shared" si="6"/>
        <v>2051.25</v>
      </c>
      <c r="O19" s="179">
        <f t="shared" si="5"/>
        <v>1895.666666666667</v>
      </c>
    </row>
    <row r="20" spans="2:15" ht="16" thickBot="1" x14ac:dyDescent="0.25">
      <c r="B20" s="7" t="s">
        <v>12</v>
      </c>
      <c r="C20" s="5">
        <v>1138</v>
      </c>
      <c r="D20" s="6">
        <v>10.119999999999999</v>
      </c>
      <c r="G20" s="180">
        <v>41699</v>
      </c>
      <c r="H20" s="93">
        <v>1065</v>
      </c>
      <c r="I20" s="93">
        <v>0</v>
      </c>
      <c r="J20" s="93">
        <v>0</v>
      </c>
      <c r="K20" s="179">
        <f t="shared" si="3"/>
        <v>1297.6666666666667</v>
      </c>
      <c r="L20" s="179">
        <f t="shared" si="4"/>
        <v>1297.6666666666667</v>
      </c>
      <c r="M20" s="93">
        <f t="shared" si="0"/>
        <v>1065</v>
      </c>
      <c r="N20" s="179">
        <f t="shared" si="6"/>
        <v>2076</v>
      </c>
      <c r="O20" s="179">
        <f t="shared" si="5"/>
        <v>1906.0833333333337</v>
      </c>
    </row>
    <row r="21" spans="2:15" ht="16" thickBot="1" x14ac:dyDescent="0.25">
      <c r="B21" s="7" t="s">
        <v>13</v>
      </c>
      <c r="C21" s="5">
        <v>1065</v>
      </c>
      <c r="D21" s="6">
        <v>11.45</v>
      </c>
      <c r="G21" s="180">
        <v>41730</v>
      </c>
      <c r="H21" s="93">
        <v>1454</v>
      </c>
      <c r="I21" s="93">
        <v>0</v>
      </c>
      <c r="J21" s="93">
        <v>0</v>
      </c>
      <c r="K21" s="179">
        <f t="shared" si="3"/>
        <v>1362.75</v>
      </c>
      <c r="L21" s="179">
        <f t="shared" si="4"/>
        <v>1362.75</v>
      </c>
      <c r="M21" s="93">
        <f t="shared" si="0"/>
        <v>1454</v>
      </c>
      <c r="N21" s="179">
        <f t="shared" si="6"/>
        <v>2100.75</v>
      </c>
      <c r="O21" s="179">
        <f t="shared" si="5"/>
        <v>1916.5000000000005</v>
      </c>
    </row>
    <row r="22" spans="2:15" ht="16" thickBot="1" x14ac:dyDescent="0.25">
      <c r="B22" s="7" t="s">
        <v>14</v>
      </c>
      <c r="C22" s="5">
        <v>1454</v>
      </c>
      <c r="D22" s="6">
        <v>8.7899999999999991</v>
      </c>
      <c r="G22" s="180">
        <v>41760</v>
      </c>
      <c r="H22" s="93">
        <v>1424</v>
      </c>
      <c r="I22" s="93">
        <v>0</v>
      </c>
      <c r="J22" s="93">
        <v>0</v>
      </c>
      <c r="K22" s="179">
        <f t="shared" si="3"/>
        <v>1408.8333333333333</v>
      </c>
      <c r="L22" s="179">
        <f t="shared" si="4"/>
        <v>1408.8333333333333</v>
      </c>
      <c r="M22" s="93">
        <f t="shared" si="0"/>
        <v>1424</v>
      </c>
      <c r="N22" s="179">
        <f t="shared" si="6"/>
        <v>2125.5</v>
      </c>
      <c r="O22" s="179">
        <f t="shared" si="5"/>
        <v>1926.9166666666672</v>
      </c>
    </row>
    <row r="23" spans="2:15" ht="16" thickBot="1" x14ac:dyDescent="0.25">
      <c r="B23" s="4">
        <v>41760</v>
      </c>
      <c r="C23" s="5">
        <v>1424</v>
      </c>
      <c r="D23" s="6">
        <v>8.9700000000000006</v>
      </c>
      <c r="G23" s="180">
        <v>41791</v>
      </c>
      <c r="H23" s="93">
        <v>1472</v>
      </c>
      <c r="I23" s="93">
        <v>0</v>
      </c>
      <c r="J23" s="93">
        <v>0</v>
      </c>
      <c r="K23" s="179">
        <f t="shared" si="3"/>
        <v>1455</v>
      </c>
      <c r="L23" s="179">
        <f t="shared" si="4"/>
        <v>1455</v>
      </c>
      <c r="M23" s="93">
        <f t="shared" si="0"/>
        <v>1472</v>
      </c>
      <c r="N23" s="179">
        <f t="shared" si="6"/>
        <v>2150.25</v>
      </c>
      <c r="O23" s="179">
        <f t="shared" si="5"/>
        <v>1937.3333333333339</v>
      </c>
    </row>
    <row r="24" spans="2:15" ht="16" thickBot="1" x14ac:dyDescent="0.25">
      <c r="B24" s="171" t="s">
        <v>15</v>
      </c>
      <c r="C24" s="172">
        <v>1472</v>
      </c>
      <c r="D24" s="173">
        <v>8.67</v>
      </c>
      <c r="G24" s="180">
        <v>41821</v>
      </c>
      <c r="H24" s="93">
        <v>1540</v>
      </c>
      <c r="I24" s="93">
        <v>0</v>
      </c>
      <c r="J24" s="93">
        <v>0</v>
      </c>
      <c r="K24" s="179">
        <f t="shared" si="3"/>
        <v>1487.25</v>
      </c>
      <c r="L24" s="179">
        <f t="shared" si="4"/>
        <v>1487.25</v>
      </c>
      <c r="M24" s="93">
        <f t="shared" si="0"/>
        <v>1540</v>
      </c>
      <c r="N24" s="179">
        <f t="shared" si="6"/>
        <v>2175</v>
      </c>
      <c r="O24" s="179">
        <f t="shared" si="5"/>
        <v>1947.7500000000007</v>
      </c>
    </row>
    <row r="25" spans="2:15" ht="16" thickBot="1" x14ac:dyDescent="0.25">
      <c r="B25" s="174">
        <v>41821</v>
      </c>
      <c r="C25" s="175">
        <v>1540</v>
      </c>
      <c r="D25" s="178">
        <f t="shared" ref="D25:D30" si="7">39030/3/C25</f>
        <v>8.4480519480519476</v>
      </c>
      <c r="G25" s="180">
        <v>41852</v>
      </c>
      <c r="H25" s="93">
        <v>1429</v>
      </c>
      <c r="I25" s="93">
        <v>0</v>
      </c>
      <c r="J25" s="93">
        <v>0</v>
      </c>
      <c r="K25" s="179">
        <f t="shared" si="3"/>
        <v>1500.3333333333333</v>
      </c>
      <c r="L25" s="179">
        <f t="shared" si="4"/>
        <v>1500.3333333333333</v>
      </c>
      <c r="M25" s="93">
        <f t="shared" si="0"/>
        <v>1429</v>
      </c>
      <c r="N25" s="179">
        <f t="shared" si="6"/>
        <v>2199.75</v>
      </c>
      <c r="O25" s="179">
        <f t="shared" si="5"/>
        <v>1958.1666666666674</v>
      </c>
    </row>
    <row r="26" spans="2:15" ht="16" thickBot="1" x14ac:dyDescent="0.25">
      <c r="B26" s="174">
        <v>41852</v>
      </c>
      <c r="C26" s="175">
        <v>1429</v>
      </c>
      <c r="D26" s="178">
        <f t="shared" si="7"/>
        <v>9.1042687193841854</v>
      </c>
      <c r="G26" s="180">
        <v>41883</v>
      </c>
      <c r="H26" s="93">
        <v>1579</v>
      </c>
      <c r="I26" s="93">
        <v>0</v>
      </c>
      <c r="J26" s="93">
        <v>0</v>
      </c>
      <c r="K26" s="179">
        <f t="shared" si="3"/>
        <v>1514</v>
      </c>
      <c r="L26" s="179">
        <f t="shared" si="4"/>
        <v>1514</v>
      </c>
      <c r="M26" s="93">
        <f t="shared" si="0"/>
        <v>1579</v>
      </c>
      <c r="N26" s="179">
        <f t="shared" si="6"/>
        <v>2224.5</v>
      </c>
      <c r="O26" s="179">
        <f t="shared" si="5"/>
        <v>1968.5833333333342</v>
      </c>
    </row>
    <row r="27" spans="2:15" ht="16" thickBot="1" x14ac:dyDescent="0.25">
      <c r="B27" s="176">
        <v>41883</v>
      </c>
      <c r="C27" s="175">
        <v>1579</v>
      </c>
      <c r="D27" s="178">
        <f t="shared" si="7"/>
        <v>8.2393920202659903</v>
      </c>
      <c r="G27" s="180">
        <v>41913</v>
      </c>
      <c r="H27" s="93">
        <v>1979</v>
      </c>
      <c r="I27" s="93">
        <v>0</v>
      </c>
      <c r="J27" s="93">
        <v>0</v>
      </c>
      <c r="K27" s="179">
        <f t="shared" si="3"/>
        <v>1524.4166666666667</v>
      </c>
      <c r="L27" s="179">
        <f t="shared" si="4"/>
        <v>1524.4166666666667</v>
      </c>
      <c r="M27" s="93">
        <f t="shared" si="0"/>
        <v>1979</v>
      </c>
      <c r="N27" s="179">
        <f t="shared" si="6"/>
        <v>2249.25</v>
      </c>
      <c r="O27" s="179">
        <f>H27</f>
        <v>1979</v>
      </c>
    </row>
    <row r="28" spans="2:15" ht="16" thickBot="1" x14ac:dyDescent="0.25">
      <c r="B28" s="177">
        <v>41913</v>
      </c>
      <c r="C28" s="175">
        <v>1979</v>
      </c>
      <c r="D28" s="178">
        <f t="shared" si="7"/>
        <v>6.5740272865083371</v>
      </c>
      <c r="G28" s="8">
        <v>41944</v>
      </c>
      <c r="H28" s="170">
        <v>2274</v>
      </c>
      <c r="I28" s="93">
        <v>0</v>
      </c>
      <c r="J28" s="93">
        <v>0</v>
      </c>
      <c r="K28" s="179">
        <f t="shared" si="3"/>
        <v>1549.1666666666667</v>
      </c>
      <c r="L28" s="179">
        <f t="shared" si="4"/>
        <v>1549.1666666666667</v>
      </c>
      <c r="M28" s="93">
        <f t="shared" si="0"/>
        <v>2274</v>
      </c>
      <c r="N28" s="179">
        <f>H28</f>
        <v>2274</v>
      </c>
      <c r="O28" s="179">
        <f>O27+((3267-1979)/12)</f>
        <v>2086.3333333333335</v>
      </c>
    </row>
    <row r="29" spans="2:15" ht="16" thickBot="1" x14ac:dyDescent="0.25">
      <c r="B29" s="174">
        <v>41944</v>
      </c>
      <c r="C29" s="175">
        <v>2274</v>
      </c>
      <c r="D29" s="178">
        <f t="shared" si="7"/>
        <v>5.7211961301671064</v>
      </c>
      <c r="G29" s="8">
        <v>41974</v>
      </c>
      <c r="H29" s="170">
        <v>2675</v>
      </c>
      <c r="I29" s="93">
        <v>0</v>
      </c>
      <c r="J29" s="93">
        <v>0</v>
      </c>
      <c r="K29" s="179">
        <f t="shared" si="3"/>
        <v>1602.4166666666667</v>
      </c>
      <c r="L29" s="179">
        <f t="shared" si="4"/>
        <v>1602.4166666666667</v>
      </c>
      <c r="M29" s="93">
        <f t="shared" si="0"/>
        <v>2675</v>
      </c>
      <c r="N29" s="179">
        <f>N28+((2845-2274)/12)</f>
        <v>2321.5833333333335</v>
      </c>
      <c r="O29" s="179">
        <f t="shared" ref="O29:O38" si="8">O28+((3267-1979)/12)</f>
        <v>2193.666666666667</v>
      </c>
    </row>
    <row r="30" spans="2:15" ht="16" thickBot="1" x14ac:dyDescent="0.25">
      <c r="B30" s="174">
        <v>41974</v>
      </c>
      <c r="C30" s="175">
        <v>2675</v>
      </c>
      <c r="D30" s="178">
        <f t="shared" si="7"/>
        <v>4.8635514018691586</v>
      </c>
      <c r="G30" s="8">
        <v>42005</v>
      </c>
      <c r="H30" s="93">
        <v>2016</v>
      </c>
      <c r="I30" s="93">
        <v>0</v>
      </c>
      <c r="J30" s="93">
        <v>0</v>
      </c>
      <c r="K30" s="179">
        <f t="shared" si="3"/>
        <v>1670.4166666666667</v>
      </c>
      <c r="L30" s="179">
        <f t="shared" si="4"/>
        <v>1670.4166666666667</v>
      </c>
      <c r="M30" s="93">
        <f t="shared" si="0"/>
        <v>2016</v>
      </c>
      <c r="N30" s="179">
        <f t="shared" ref="N30:N39" si="9">N29+((2845-2274)/12)</f>
        <v>2369.166666666667</v>
      </c>
      <c r="O30" s="179">
        <f t="shared" si="8"/>
        <v>2301.0000000000005</v>
      </c>
    </row>
    <row r="31" spans="2:15" x14ac:dyDescent="0.2">
      <c r="G31" s="8">
        <v>42036</v>
      </c>
      <c r="H31" s="93">
        <v>1434</v>
      </c>
      <c r="I31" s="93">
        <v>0</v>
      </c>
      <c r="J31" s="93">
        <v>0</v>
      </c>
      <c r="K31" s="179">
        <f t="shared" si="3"/>
        <v>1695.0833333333333</v>
      </c>
      <c r="L31" s="179">
        <f t="shared" si="4"/>
        <v>1695.0833333333333</v>
      </c>
      <c r="M31" s="93">
        <f t="shared" si="0"/>
        <v>1434</v>
      </c>
      <c r="N31" s="179">
        <f t="shared" si="9"/>
        <v>2416.7500000000005</v>
      </c>
      <c r="O31" s="179">
        <f t="shared" si="8"/>
        <v>2408.3333333333339</v>
      </c>
    </row>
    <row r="32" spans="2:15" x14ac:dyDescent="0.2">
      <c r="G32" s="8">
        <v>42064</v>
      </c>
      <c r="H32" s="93">
        <v>1446</v>
      </c>
      <c r="I32" s="93">
        <v>0</v>
      </c>
      <c r="J32" s="93">
        <v>0</v>
      </c>
      <c r="K32" s="179">
        <f t="shared" si="3"/>
        <v>1726.8333333333333</v>
      </c>
      <c r="L32" s="179">
        <f t="shared" si="4"/>
        <v>1726.8333333333333</v>
      </c>
      <c r="M32" s="93">
        <f t="shared" si="0"/>
        <v>1446</v>
      </c>
      <c r="N32" s="179">
        <f t="shared" si="9"/>
        <v>2464.3333333333339</v>
      </c>
      <c r="O32" s="179">
        <f t="shared" si="8"/>
        <v>2515.6666666666674</v>
      </c>
    </row>
    <row r="33" spans="7:15" x14ac:dyDescent="0.2">
      <c r="G33" s="8">
        <v>42095</v>
      </c>
      <c r="H33" s="93">
        <v>1352</v>
      </c>
      <c r="I33" s="93">
        <v>0</v>
      </c>
      <c r="J33" s="93">
        <v>0</v>
      </c>
      <c r="K33" s="179">
        <f t="shared" si="3"/>
        <v>1718.3333333333333</v>
      </c>
      <c r="L33" s="179">
        <f t="shared" si="4"/>
        <v>1718.3333333333333</v>
      </c>
      <c r="M33" s="93">
        <f t="shared" si="0"/>
        <v>1352</v>
      </c>
      <c r="N33" s="179">
        <f t="shared" si="9"/>
        <v>2511.9166666666674</v>
      </c>
      <c r="O33" s="179">
        <f t="shared" si="8"/>
        <v>2623.0000000000009</v>
      </c>
    </row>
    <row r="34" spans="7:15" x14ac:dyDescent="0.2">
      <c r="G34" s="8">
        <v>42125</v>
      </c>
      <c r="H34" s="93">
        <v>1291</v>
      </c>
      <c r="I34" s="93">
        <v>0</v>
      </c>
      <c r="J34" s="93">
        <v>0</v>
      </c>
      <c r="K34" s="179">
        <f t="shared" si="3"/>
        <v>1707.25</v>
      </c>
      <c r="L34" s="179">
        <f t="shared" si="4"/>
        <v>1707.25</v>
      </c>
      <c r="M34" s="93">
        <f t="shared" si="0"/>
        <v>1291</v>
      </c>
      <c r="N34" s="179">
        <f t="shared" si="9"/>
        <v>2559.5000000000009</v>
      </c>
      <c r="O34" s="179">
        <f t="shared" si="8"/>
        <v>2730.3333333333344</v>
      </c>
    </row>
    <row r="35" spans="7:15" x14ac:dyDescent="0.2">
      <c r="G35" s="8">
        <v>42156</v>
      </c>
      <c r="H35" s="93">
        <v>1827</v>
      </c>
      <c r="I35" s="93">
        <v>0</v>
      </c>
      <c r="J35" s="93">
        <v>0</v>
      </c>
      <c r="K35" s="179">
        <f t="shared" si="3"/>
        <v>1736.8333333333333</v>
      </c>
      <c r="L35" s="179">
        <f t="shared" si="4"/>
        <v>1736.8333333333333</v>
      </c>
      <c r="M35" s="93">
        <f t="shared" si="0"/>
        <v>1827</v>
      </c>
      <c r="N35" s="179">
        <f t="shared" si="9"/>
        <v>2607.0833333333344</v>
      </c>
      <c r="O35" s="179">
        <f t="shared" si="8"/>
        <v>2837.6666666666679</v>
      </c>
    </row>
    <row r="36" spans="7:15" x14ac:dyDescent="0.2">
      <c r="G36" s="8">
        <v>42186</v>
      </c>
      <c r="H36" s="93">
        <v>1528</v>
      </c>
      <c r="I36" s="93">
        <v>118</v>
      </c>
      <c r="J36" s="93">
        <v>3</v>
      </c>
      <c r="K36" s="179">
        <f t="shared" si="3"/>
        <v>1745.9166666666667</v>
      </c>
      <c r="L36" s="179">
        <f t="shared" si="4"/>
        <v>1735.8333333333333</v>
      </c>
      <c r="M36" s="93">
        <f t="shared" si="0"/>
        <v>1649</v>
      </c>
      <c r="N36" s="179">
        <f t="shared" si="9"/>
        <v>2654.6666666666679</v>
      </c>
      <c r="O36" s="179">
        <f t="shared" si="8"/>
        <v>2945.0000000000014</v>
      </c>
    </row>
    <row r="37" spans="7:15" x14ac:dyDescent="0.2">
      <c r="G37" s="8">
        <v>42217</v>
      </c>
      <c r="H37" s="93">
        <v>1899</v>
      </c>
      <c r="I37" s="93">
        <v>162</v>
      </c>
      <c r="J37" s="93">
        <f>33</f>
        <v>33</v>
      </c>
      <c r="K37" s="179">
        <f t="shared" si="3"/>
        <v>1801.3333333333333</v>
      </c>
      <c r="L37" s="179">
        <f t="shared" si="4"/>
        <v>1775</v>
      </c>
      <c r="M37" s="93">
        <f t="shared" si="0"/>
        <v>2094</v>
      </c>
      <c r="N37" s="179">
        <f t="shared" si="9"/>
        <v>2702.2500000000014</v>
      </c>
      <c r="O37" s="179">
        <f t="shared" si="8"/>
        <v>3052.3333333333348</v>
      </c>
    </row>
    <row r="38" spans="7:15" x14ac:dyDescent="0.2">
      <c r="G38" s="8">
        <v>42248</v>
      </c>
      <c r="H38" s="93">
        <f>2914*21/21</f>
        <v>2914</v>
      </c>
      <c r="I38" s="93">
        <f>242*21/21</f>
        <v>242</v>
      </c>
      <c r="J38" s="93">
        <f>78*21/21</f>
        <v>78</v>
      </c>
      <c r="K38" s="179">
        <f t="shared" si="3"/>
        <v>1939.25</v>
      </c>
      <c r="L38" s="179">
        <f t="shared" si="4"/>
        <v>1886.25</v>
      </c>
      <c r="M38" s="93">
        <f t="shared" si="0"/>
        <v>3234</v>
      </c>
      <c r="N38" s="179">
        <f t="shared" si="9"/>
        <v>2749.8333333333348</v>
      </c>
      <c r="O38" s="179">
        <f t="shared" si="8"/>
        <v>3159.6666666666683</v>
      </c>
    </row>
    <row r="39" spans="7:15" x14ac:dyDescent="0.2">
      <c r="G39" s="8">
        <v>42278</v>
      </c>
      <c r="H39" s="93">
        <f>3267*22/22</f>
        <v>3267</v>
      </c>
      <c r="I39" s="93">
        <f>163*22/22</f>
        <v>163</v>
      </c>
      <c r="J39" s="93">
        <f>502*27/27</f>
        <v>502</v>
      </c>
      <c r="K39" s="179">
        <f t="shared" si="3"/>
        <v>2102</v>
      </c>
      <c r="L39" s="179">
        <f t="shared" si="4"/>
        <v>1993.5833333333333</v>
      </c>
      <c r="M39" s="93">
        <f t="shared" si="0"/>
        <v>3932</v>
      </c>
      <c r="N39" s="179">
        <f t="shared" si="9"/>
        <v>2797.4166666666683</v>
      </c>
      <c r="O39" s="179">
        <f>H39</f>
        <v>3267</v>
      </c>
    </row>
    <row r="40" spans="7:15" x14ac:dyDescent="0.2">
      <c r="G40" s="8">
        <v>42309</v>
      </c>
      <c r="H40" s="93">
        <f>2845*20/20</f>
        <v>2845</v>
      </c>
      <c r="I40" s="93">
        <f>172*20/20</f>
        <v>172</v>
      </c>
      <c r="J40" s="93">
        <f>960*24/24</f>
        <v>960</v>
      </c>
      <c r="K40" s="179">
        <f t="shared" si="3"/>
        <v>2243.9166666666665</v>
      </c>
      <c r="L40" s="179">
        <f t="shared" si="4"/>
        <v>2041.1666666666667</v>
      </c>
      <c r="M40" s="93">
        <f t="shared" si="0"/>
        <v>3977</v>
      </c>
      <c r="N40" s="179">
        <f>H40</f>
        <v>2845</v>
      </c>
      <c r="O40" s="179">
        <f>O39+((3267-1979)/12)</f>
        <v>3374.3333333333335</v>
      </c>
    </row>
    <row r="41" spans="7:15" x14ac:dyDescent="0.2">
      <c r="G41" s="8">
        <v>42339</v>
      </c>
      <c r="H41" s="93">
        <f>2585*22/22</f>
        <v>2585</v>
      </c>
      <c r="I41" s="93">
        <f>163*22/22</f>
        <v>163</v>
      </c>
      <c r="J41" s="93">
        <f>909*26/26</f>
        <v>909</v>
      </c>
      <c r="K41" s="179">
        <f t="shared" si="3"/>
        <v>2325.75</v>
      </c>
      <c r="L41" s="179">
        <f t="shared" si="4"/>
        <v>2033.6666666666667</v>
      </c>
      <c r="M41" s="93">
        <f t="shared" si="0"/>
        <v>3657</v>
      </c>
      <c r="N41" s="179">
        <f>N40+((2845-2274)/12)</f>
        <v>2892.5833333333335</v>
      </c>
      <c r="O41" s="179">
        <f>O40+((3267-1979)/12)</f>
        <v>3481.666666666667</v>
      </c>
    </row>
    <row r="42" spans="7:15" x14ac:dyDescent="0.2">
      <c r="G42" s="8">
        <v>42370</v>
      </c>
      <c r="H42" s="93">
        <v>1763</v>
      </c>
      <c r="I42" s="93">
        <v>205</v>
      </c>
      <c r="J42" s="93">
        <v>855</v>
      </c>
      <c r="K42" s="179">
        <f t="shared" si="3"/>
        <v>2393</v>
      </c>
      <c r="L42" s="179">
        <f t="shared" si="4"/>
        <v>2012.5833333333333</v>
      </c>
      <c r="M42" s="93">
        <f t="shared" si="0"/>
        <v>2823</v>
      </c>
      <c r="N42" s="179">
        <f>N41+((2845-2274)/12)</f>
        <v>2940.166666666667</v>
      </c>
      <c r="O42" s="179">
        <f>O41+((3267-1979)/12)</f>
        <v>3589.0000000000005</v>
      </c>
    </row>
    <row r="43" spans="7:15" x14ac:dyDescent="0.2">
      <c r="G43" s="8">
        <v>42401</v>
      </c>
      <c r="H43" s="93">
        <f>1407*21/15</f>
        <v>1969.8</v>
      </c>
      <c r="I43" s="181">
        <v>315</v>
      </c>
      <c r="J43" s="181">
        <v>567</v>
      </c>
      <c r="K43" s="179">
        <f t="shared" si="3"/>
        <v>2511.15</v>
      </c>
      <c r="L43" s="179">
        <f t="shared" si="4"/>
        <v>2057.2333333333331</v>
      </c>
      <c r="M43" s="93">
        <f t="shared" si="0"/>
        <v>2851.8</v>
      </c>
    </row>
    <row r="44" spans="7:15" x14ac:dyDescent="0.2">
      <c r="G44" s="8">
        <v>42430</v>
      </c>
      <c r="H44" s="93">
        <v>2293</v>
      </c>
      <c r="I44" s="93">
        <v>421</v>
      </c>
      <c r="J44" s="93">
        <f>461/26*27</f>
        <v>478.73076923076923</v>
      </c>
      <c r="K44" s="179">
        <f t="shared" si="3"/>
        <v>2656.7108974358976</v>
      </c>
      <c r="L44" s="179">
        <f t="shared" si="4"/>
        <v>2127.8166666666666</v>
      </c>
      <c r="M44" s="93">
        <f t="shared" si="0"/>
        <v>3192.7307692307691</v>
      </c>
    </row>
    <row r="45" spans="7:15" x14ac:dyDescent="0.2">
      <c r="G45" s="8">
        <v>42461</v>
      </c>
      <c r="H45" s="93">
        <v>2169</v>
      </c>
      <c r="I45" s="93">
        <v>524</v>
      </c>
      <c r="J45" s="93">
        <v>495.00000000000006</v>
      </c>
      <c r="K45" s="179">
        <f t="shared" ref="K45" si="10">AVERAGE(M34:M45)</f>
        <v>2809.7108974358976</v>
      </c>
      <c r="L45" s="179">
        <f t="shared" ref="L45" si="11">AVERAGE(H34:H45)</f>
        <v>2195.9</v>
      </c>
      <c r="M45" s="93">
        <f t="shared" si="0"/>
        <v>3188</v>
      </c>
    </row>
    <row r="46" spans="7:15" x14ac:dyDescent="0.2">
      <c r="G46" s="8">
        <v>42491</v>
      </c>
      <c r="H46" s="93">
        <v>2434</v>
      </c>
      <c r="I46" s="93">
        <v>454</v>
      </c>
      <c r="J46" s="93">
        <v>605</v>
      </c>
      <c r="K46" s="179">
        <f t="shared" ref="K46" si="12">AVERAGE(M35:M46)</f>
        <v>2993.2108974358976</v>
      </c>
      <c r="L46" s="179">
        <f t="shared" ref="L46" si="13">AVERAGE(H35:H46)</f>
        <v>2291.15</v>
      </c>
      <c r="M46" s="93">
        <f t="shared" si="0"/>
        <v>3493</v>
      </c>
    </row>
    <row r="47" spans="7:15" x14ac:dyDescent="0.2">
      <c r="G47" s="8">
        <v>42522</v>
      </c>
      <c r="H47" s="93">
        <v>2521</v>
      </c>
      <c r="I47" s="93">
        <f>444*(22/22)</f>
        <v>444</v>
      </c>
      <c r="J47" s="93">
        <f>659*(26/26)</f>
        <v>659</v>
      </c>
      <c r="K47" s="179">
        <f t="shared" ref="K47:K49" si="14">AVERAGE(M36:M47)</f>
        <v>3142.9608974358976</v>
      </c>
      <c r="L47" s="179">
        <f t="shared" ref="L47:L49" si="15">AVERAGE(H36:H47)</f>
        <v>2348.9833333333331</v>
      </c>
      <c r="M47" s="93">
        <f t="shared" si="0"/>
        <v>3624</v>
      </c>
    </row>
    <row r="48" spans="7:15" x14ac:dyDescent="0.2">
      <c r="G48" s="8">
        <v>42552</v>
      </c>
      <c r="H48" s="93">
        <f>2330*20/20</f>
        <v>2330</v>
      </c>
      <c r="I48" s="93">
        <f>384/20*20</f>
        <v>384</v>
      </c>
      <c r="J48" s="93">
        <f>720*(25/25)</f>
        <v>720</v>
      </c>
      <c r="K48" s="179">
        <f t="shared" si="14"/>
        <v>3291.7108974358976</v>
      </c>
      <c r="L48" s="179">
        <f t="shared" si="15"/>
        <v>2415.8166666666666</v>
      </c>
      <c r="M48" s="93">
        <f t="shared" si="0"/>
        <v>3434</v>
      </c>
    </row>
    <row r="49" spans="7:13" x14ac:dyDescent="0.2">
      <c r="G49" s="8">
        <v>42583</v>
      </c>
      <c r="H49" s="93">
        <f>2661*23/23</f>
        <v>2661</v>
      </c>
      <c r="I49" s="93">
        <f>(491/23)*23</f>
        <v>491.00000000000006</v>
      </c>
      <c r="J49" s="93">
        <f>901*(27/27)</f>
        <v>901</v>
      </c>
      <c r="K49" s="179">
        <f t="shared" si="14"/>
        <v>3454.9608974358976</v>
      </c>
      <c r="L49" s="179">
        <f t="shared" si="15"/>
        <v>2479.3166666666666</v>
      </c>
      <c r="M49" s="93">
        <f t="shared" si="0"/>
        <v>4053</v>
      </c>
    </row>
    <row r="50" spans="7:13" x14ac:dyDescent="0.2">
      <c r="G50" s="8">
        <v>42614</v>
      </c>
      <c r="H50" s="93">
        <f>(226+2275)*21/21</f>
        <v>2501</v>
      </c>
      <c r="I50" s="93">
        <f>502*(21/21)</f>
        <v>502</v>
      </c>
      <c r="J50" s="93">
        <f>672*(25/25)</f>
        <v>672</v>
      </c>
      <c r="K50" s="179">
        <f t="shared" ref="K50:K51" si="16">AVERAGE(M39:M50)</f>
        <v>3491.7108974358976</v>
      </c>
      <c r="L50" s="179">
        <f t="shared" ref="L50:L51" si="17">AVERAGE(H39:H50)</f>
        <v>2444.9</v>
      </c>
      <c r="M50" s="93">
        <f t="shared" si="0"/>
        <v>3675</v>
      </c>
    </row>
    <row r="51" spans="7:13" x14ac:dyDescent="0.2">
      <c r="G51" s="8">
        <v>42644</v>
      </c>
      <c r="H51" s="93">
        <f>2472*21/21</f>
        <v>2472</v>
      </c>
      <c r="I51" s="93">
        <f>(608)*21/21</f>
        <v>608</v>
      </c>
      <c r="J51" s="93">
        <f>1031*(26/26)</f>
        <v>1031</v>
      </c>
      <c r="K51" s="179">
        <f t="shared" si="16"/>
        <v>3506.6275641025641</v>
      </c>
      <c r="L51" s="179">
        <f t="shared" si="17"/>
        <v>2378.65</v>
      </c>
      <c r="M51" s="93">
        <f t="shared" si="0"/>
        <v>4111</v>
      </c>
    </row>
    <row r="52" spans="7:13" x14ac:dyDescent="0.2">
      <c r="G52" s="8">
        <v>42675</v>
      </c>
      <c r="H52" s="93">
        <f>2488*21/21</f>
        <v>2488</v>
      </c>
      <c r="I52" s="93">
        <f>(888)*21/21</f>
        <v>888</v>
      </c>
      <c r="J52" s="93">
        <f>1179*(25/25)</f>
        <v>1179</v>
      </c>
      <c r="K52" s="179">
        <f t="shared" ref="K52:K53" si="18">AVERAGE(M41:M52)</f>
        <v>3554.7942307692306</v>
      </c>
      <c r="L52" s="179">
        <f t="shared" ref="L52:L53" si="19">AVERAGE(H41:H52)</f>
        <v>2348.9</v>
      </c>
      <c r="M52" s="93">
        <f t="shared" si="0"/>
        <v>4555</v>
      </c>
    </row>
    <row r="53" spans="7:13" x14ac:dyDescent="0.2">
      <c r="G53" s="8">
        <v>42705</v>
      </c>
      <c r="H53" s="93">
        <f>(2451)*22/22</f>
        <v>2451</v>
      </c>
      <c r="I53" s="93">
        <f>(667)*22/22</f>
        <v>667</v>
      </c>
      <c r="J53" s="93">
        <f>719*(27/27)</f>
        <v>719</v>
      </c>
      <c r="K53" s="179">
        <f t="shared" si="18"/>
        <v>3569.7942307692306</v>
      </c>
      <c r="L53" s="179">
        <f t="shared" si="19"/>
        <v>2337.7333333333331</v>
      </c>
      <c r="M53" s="93">
        <f t="shared" si="0"/>
        <v>3837</v>
      </c>
    </row>
    <row r="54" spans="7:13" x14ac:dyDescent="0.2">
      <c r="G54" s="8">
        <v>42736</v>
      </c>
      <c r="H54" s="93">
        <f>(1900)*22/22</f>
        <v>1900</v>
      </c>
      <c r="I54" s="93">
        <f>(623)*22/22</f>
        <v>623</v>
      </c>
      <c r="J54" s="93">
        <f>(583)*27/27</f>
        <v>583</v>
      </c>
      <c r="K54" s="179">
        <f t="shared" ref="K54:K62" si="20">AVERAGE(M43:M54)</f>
        <v>3593.3775641025641</v>
      </c>
      <c r="L54" s="179">
        <f t="shared" ref="L54:L62" si="21">AVERAGE(H43:H54)</f>
        <v>2349.15</v>
      </c>
      <c r="M54" s="93">
        <f t="shared" si="0"/>
        <v>3106</v>
      </c>
    </row>
    <row r="55" spans="7:13" x14ac:dyDescent="0.2">
      <c r="G55" s="8">
        <v>42767</v>
      </c>
      <c r="H55" s="93">
        <f>(1678)*20/20</f>
        <v>1678</v>
      </c>
      <c r="I55" s="93">
        <f>707*(20/20)</f>
        <v>707</v>
      </c>
      <c r="J55" s="93">
        <f>352*(24/24)</f>
        <v>352</v>
      </c>
      <c r="K55" s="179">
        <f t="shared" si="20"/>
        <v>3583.810897435897</v>
      </c>
      <c r="L55" s="179">
        <f t="shared" si="21"/>
        <v>2324.8333333333335</v>
      </c>
      <c r="M55" s="93">
        <f t="shared" ref="M55:M56" si="22">SUM(H55:J55)</f>
        <v>2737</v>
      </c>
    </row>
    <row r="56" spans="7:13" x14ac:dyDescent="0.2">
      <c r="G56" s="8">
        <v>42795</v>
      </c>
      <c r="H56" s="93">
        <f>(1880)*23/23</f>
        <v>1880</v>
      </c>
      <c r="I56" s="93">
        <f>817*(23/23)</f>
        <v>817</v>
      </c>
      <c r="J56" s="93">
        <f>372*(27/27)</f>
        <v>372</v>
      </c>
      <c r="K56" s="179">
        <f t="shared" si="20"/>
        <v>3573.5</v>
      </c>
      <c r="L56" s="179">
        <f t="shared" si="21"/>
        <v>2290.4166666666665</v>
      </c>
      <c r="M56" s="93">
        <f t="shared" si="22"/>
        <v>3069</v>
      </c>
    </row>
    <row r="57" spans="7:13" x14ac:dyDescent="0.2">
      <c r="G57" s="8">
        <v>42826</v>
      </c>
      <c r="H57" s="93">
        <f>(1821)*20/20</f>
        <v>1821</v>
      </c>
      <c r="I57" s="93">
        <f>710*(20/20)</f>
        <v>710</v>
      </c>
      <c r="J57" s="93">
        <f>254*(25/25)</f>
        <v>254</v>
      </c>
      <c r="K57" s="179">
        <f t="shared" si="20"/>
        <v>3539.9166666666665</v>
      </c>
      <c r="L57" s="179">
        <f t="shared" si="21"/>
        <v>2261.4166666666665</v>
      </c>
      <c r="M57" s="93">
        <f t="shared" ref="M57" si="23">SUM(H57:J57)</f>
        <v>2785</v>
      </c>
    </row>
    <row r="58" spans="7:13" x14ac:dyDescent="0.2">
      <c r="G58" s="8">
        <v>42856</v>
      </c>
      <c r="H58" s="93">
        <f>(2176*22)/22</f>
        <v>2176</v>
      </c>
      <c r="I58" s="93">
        <f>(808)*22/22</f>
        <v>808</v>
      </c>
      <c r="J58" s="93">
        <f>329*(26/26)</f>
        <v>329</v>
      </c>
      <c r="K58" s="179">
        <f t="shared" si="20"/>
        <v>3524.9166666666665</v>
      </c>
      <c r="L58" s="179">
        <f t="shared" si="21"/>
        <v>2239.9166666666665</v>
      </c>
      <c r="M58" s="93">
        <f t="shared" ref="M58" si="24">SUM(H58:J58)</f>
        <v>3313</v>
      </c>
    </row>
    <row r="59" spans="7:13" x14ac:dyDescent="0.2">
      <c r="G59" s="8">
        <v>42887</v>
      </c>
      <c r="H59" s="93">
        <f>(2116)*22/22</f>
        <v>2116</v>
      </c>
      <c r="I59" s="93">
        <f>781*(22/22)</f>
        <v>781</v>
      </c>
      <c r="J59" s="93">
        <f>517*(26/26)</f>
        <v>517</v>
      </c>
      <c r="K59" s="179">
        <f t="shared" si="20"/>
        <v>3507.4166666666665</v>
      </c>
      <c r="L59" s="179">
        <f t="shared" si="21"/>
        <v>2206.1666666666665</v>
      </c>
      <c r="M59" s="93">
        <f t="shared" ref="M59:M60" si="25">SUM(H59:J59)</f>
        <v>3414</v>
      </c>
    </row>
    <row r="60" spans="7:13" x14ac:dyDescent="0.2">
      <c r="G60" s="8">
        <v>42917</v>
      </c>
      <c r="H60" s="93">
        <f>(1809*20)/20</f>
        <v>1809</v>
      </c>
      <c r="I60" s="93">
        <f>(558)*20/20</f>
        <v>558</v>
      </c>
      <c r="J60" s="93">
        <f>614*(26/26)</f>
        <v>614</v>
      </c>
      <c r="K60" s="179">
        <f t="shared" si="20"/>
        <v>3469.6666666666665</v>
      </c>
      <c r="L60" s="179">
        <f t="shared" si="21"/>
        <v>2162.75</v>
      </c>
      <c r="M60" s="93">
        <f t="shared" si="25"/>
        <v>2981</v>
      </c>
    </row>
    <row r="61" spans="7:13" x14ac:dyDescent="0.2">
      <c r="G61" s="8">
        <v>42948</v>
      </c>
      <c r="H61" s="93">
        <f>(2890*23)/23</f>
        <v>2890</v>
      </c>
      <c r="I61" s="93">
        <f>(669)*23/23</f>
        <v>669</v>
      </c>
      <c r="J61" s="93">
        <f>856*(27/27)</f>
        <v>856</v>
      </c>
      <c r="K61" s="179">
        <f t="shared" si="20"/>
        <v>3499.8333333333335</v>
      </c>
      <c r="L61" s="179">
        <f t="shared" si="21"/>
        <v>2181.8333333333335</v>
      </c>
      <c r="M61" s="93">
        <f t="shared" ref="M61:M62" si="26">SUM(H61:J61)</f>
        <v>4415</v>
      </c>
    </row>
    <row r="62" spans="7:13" x14ac:dyDescent="0.2">
      <c r="G62" s="8">
        <v>42979</v>
      </c>
      <c r="H62" s="93">
        <f>(2353)*20/20</f>
        <v>2353</v>
      </c>
      <c r="I62" s="93">
        <f>611*(20/20)</f>
        <v>611</v>
      </c>
      <c r="J62" s="93">
        <f>815*(25/25)</f>
        <v>815</v>
      </c>
      <c r="K62" s="179">
        <f t="shared" si="20"/>
        <v>3508.5</v>
      </c>
      <c r="L62" s="179">
        <f t="shared" si="21"/>
        <v>2169.5</v>
      </c>
      <c r="M62" s="93">
        <f t="shared" si="26"/>
        <v>3779</v>
      </c>
    </row>
    <row r="63" spans="7:13" x14ac:dyDescent="0.2">
      <c r="G63" s="8">
        <v>43009</v>
      </c>
      <c r="H63" s="93">
        <f>(2501)*22/22</f>
        <v>2501</v>
      </c>
      <c r="I63" s="93">
        <f>834*(22/22)</f>
        <v>834</v>
      </c>
      <c r="J63" s="93">
        <f>838*(26/26)</f>
        <v>838</v>
      </c>
      <c r="K63" s="179">
        <f t="shared" ref="K63:K67" si="27">AVERAGE(M52:M63)</f>
        <v>3513.6666666666665</v>
      </c>
      <c r="L63" s="179">
        <f t="shared" ref="L63:L67" si="28">AVERAGE(H52:H63)</f>
        <v>2171.9166666666665</v>
      </c>
      <c r="M63" s="93">
        <f t="shared" ref="M63" si="29">SUM(H63:J63)</f>
        <v>4173</v>
      </c>
    </row>
    <row r="64" spans="7:13" x14ac:dyDescent="0.2">
      <c r="G64" s="8">
        <v>43040</v>
      </c>
      <c r="H64" s="93">
        <f>(2554)*24/24</f>
        <v>2554</v>
      </c>
      <c r="I64" s="93">
        <f>882*(21/21)</f>
        <v>882</v>
      </c>
      <c r="J64" s="93">
        <f>1462*(25/25)</f>
        <v>1462</v>
      </c>
      <c r="K64" s="179">
        <f t="shared" si="27"/>
        <v>3542.25</v>
      </c>
      <c r="L64" s="179">
        <f t="shared" si="28"/>
        <v>2177.4166666666665</v>
      </c>
      <c r="M64" s="93">
        <f t="shared" ref="M64:M67" si="30">SUM(H64:J64)</f>
        <v>4898</v>
      </c>
    </row>
    <row r="65" spans="7:15" x14ac:dyDescent="0.2">
      <c r="G65" s="8">
        <v>43070</v>
      </c>
      <c r="H65" s="93">
        <f>2248*(25/25)</f>
        <v>2248</v>
      </c>
      <c r="I65" s="93">
        <f>633*(20/20)</f>
        <v>633</v>
      </c>
      <c r="J65" s="93">
        <f>1733*(25/25)</f>
        <v>1733</v>
      </c>
      <c r="K65" s="179">
        <f t="shared" si="27"/>
        <v>3607</v>
      </c>
      <c r="L65" s="179">
        <f t="shared" si="28"/>
        <v>2160.5</v>
      </c>
      <c r="M65" s="93">
        <f t="shared" si="30"/>
        <v>4614</v>
      </c>
    </row>
    <row r="66" spans="7:15" x14ac:dyDescent="0.2">
      <c r="G66" s="8">
        <v>43101</v>
      </c>
      <c r="H66" s="93">
        <f>2184*(24/24)</f>
        <v>2184</v>
      </c>
      <c r="I66" s="93">
        <f>(564)*22/22</f>
        <v>564</v>
      </c>
      <c r="J66" s="93">
        <f>857*(26/26)</f>
        <v>857</v>
      </c>
      <c r="K66" s="179">
        <f t="shared" si="27"/>
        <v>3648.5833333333335</v>
      </c>
      <c r="L66" s="179">
        <f t="shared" si="28"/>
        <v>2184.1666666666665</v>
      </c>
      <c r="M66" s="93">
        <f t="shared" si="30"/>
        <v>3605</v>
      </c>
    </row>
    <row r="67" spans="7:15" x14ac:dyDescent="0.2">
      <c r="G67" s="8">
        <v>43132</v>
      </c>
      <c r="H67" s="93">
        <f>1789*(20/20)</f>
        <v>1789</v>
      </c>
      <c r="I67" s="93">
        <f>(592)*20/20</f>
        <v>592</v>
      </c>
      <c r="J67" s="93">
        <f>604*(24/24)</f>
        <v>604</v>
      </c>
      <c r="K67" s="179">
        <f t="shared" si="27"/>
        <v>3669.25</v>
      </c>
      <c r="L67" s="179">
        <f t="shared" si="28"/>
        <v>2193.4166666666665</v>
      </c>
      <c r="M67" s="93">
        <f t="shared" si="30"/>
        <v>2985</v>
      </c>
      <c r="N67" s="179">
        <f t="shared" ref="N67" si="31">N68-((2274-1977)/12)</f>
        <v>-24.75</v>
      </c>
      <c r="O67" s="179">
        <f t="shared" ref="O67" si="32">O68-((1979-1854)/12)</f>
        <v>-10.416666666666666</v>
      </c>
    </row>
  </sheetData>
  <conditionalFormatting sqref="I54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4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55 M57:M67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55 H57 H60:H61 H66:H67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6:I53 I55 I57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6:J53 J55 J57 J60:J61 J66:J67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6:J55 J57 J60:J61 J66:J67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6:I55 I57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6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6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6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6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0 I56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6:J57 J60:J61 J66:J67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6:I5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57 H60:H61 H66:H67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6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0:I61 I66:I67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0:I61 I74 I66:I67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6:I57 I60:I61 I66:I6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8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8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8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2:H63 H59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2:I63 I59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2:J63 J59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2:J63 J59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3 I59 I62:I6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8:J59 J62:J63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9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8:H59 H62:H6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8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2 I58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8:I59 I62:I6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63 H66:H6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6:I63 I66:I6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6:J63 J66:J67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6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L6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6:J64 J66:J6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6:I64 I66:I6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6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6:I6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6:J6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scale="3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pageSetUpPr fitToPage="1"/>
  </sheetPr>
  <dimension ref="A1:Z28"/>
  <sheetViews>
    <sheetView workbookViewId="0">
      <selection activeCell="D39" sqref="D39"/>
    </sheetView>
  </sheetViews>
  <sheetFormatPr baseColWidth="10" defaultColWidth="8.83203125" defaultRowHeight="15" x14ac:dyDescent="0.2"/>
  <cols>
    <col min="4" max="7" width="11.83203125" bestFit="1" customWidth="1"/>
    <col min="8" max="8" width="12.33203125" bestFit="1" customWidth="1"/>
    <col min="9" max="11" width="13.5" bestFit="1" customWidth="1"/>
  </cols>
  <sheetData>
    <row r="1" spans="1:26" ht="31" x14ac:dyDescent="0.45">
      <c r="A1" s="81" t="s">
        <v>83</v>
      </c>
    </row>
    <row r="2" spans="1:26" x14ac:dyDescent="0.2">
      <c r="A2" s="10"/>
      <c r="B2" s="10"/>
      <c r="C2" s="38"/>
      <c r="D2" s="182">
        <v>2015</v>
      </c>
      <c r="E2" s="182"/>
      <c r="F2" s="182"/>
      <c r="G2" s="182"/>
      <c r="H2" s="183">
        <v>2016</v>
      </c>
      <c r="I2" s="182"/>
      <c r="J2" s="182"/>
      <c r="K2" s="184"/>
    </row>
    <row r="3" spans="1:26" x14ac:dyDescent="0.2">
      <c r="A3" s="12"/>
      <c r="B3" s="12"/>
      <c r="C3" s="15"/>
      <c r="D3" s="36" t="s">
        <v>54</v>
      </c>
      <c r="E3" s="36" t="s">
        <v>55</v>
      </c>
      <c r="F3" s="36" t="s">
        <v>56</v>
      </c>
      <c r="G3" s="36" t="s">
        <v>57</v>
      </c>
      <c r="H3" s="35" t="s">
        <v>54</v>
      </c>
      <c r="I3" s="36" t="s">
        <v>55</v>
      </c>
      <c r="J3" s="36" t="s">
        <v>56</v>
      </c>
      <c r="K3" s="37" t="s">
        <v>57</v>
      </c>
    </row>
    <row r="4" spans="1:26" x14ac:dyDescent="0.2">
      <c r="A4" s="12" t="s">
        <v>29</v>
      </c>
      <c r="B4" s="12"/>
      <c r="C4" s="15" t="s">
        <v>50</v>
      </c>
      <c r="D4" s="9">
        <f>SUM(Opt1subsidies!E3:G3)</f>
        <v>63</v>
      </c>
      <c r="E4" s="9">
        <f>SUM(Opt1subsidies!H3:J3)</f>
        <v>64</v>
      </c>
      <c r="F4" s="9">
        <f>SUM(Opt1subsidies!K3:M3)</f>
        <v>64</v>
      </c>
      <c r="G4" s="9">
        <f>SUM(Opt1subsidies!N3:P3)</f>
        <v>63</v>
      </c>
      <c r="H4" s="12">
        <f>SUM(Opt1subsidies!Q3:S3)</f>
        <v>64</v>
      </c>
      <c r="I4" s="9">
        <f>SUM(Opt1subsidies!T3:V3)</f>
        <v>64</v>
      </c>
      <c r="J4" s="9">
        <f>SUM(Opt1subsidies!W3:Y3)</f>
        <v>65</v>
      </c>
      <c r="K4" s="15">
        <f>SUM(Opt1subsidies!Z3:AB3)</f>
        <v>63</v>
      </c>
    </row>
    <row r="5" spans="1:26" x14ac:dyDescent="0.2">
      <c r="A5" s="12"/>
      <c r="B5" s="12" t="s">
        <v>30</v>
      </c>
      <c r="C5" s="15"/>
      <c r="D5" s="39">
        <f>SUM(Opt1subsidies!E4:G4)</f>
        <v>26560.260000000002</v>
      </c>
      <c r="E5" s="39">
        <f>SUM(Opt1subsidies!H4:J4)</f>
        <v>27419.21</v>
      </c>
      <c r="F5" s="39">
        <f>SUM(Opt1subsidies!K4:M4)</f>
        <v>26647.57</v>
      </c>
      <c r="G5" s="39">
        <f>SUM(Opt1subsidies!N4:P4)</f>
        <v>24841.03</v>
      </c>
      <c r="H5" s="47">
        <f>SUM(Opt1subsidies!Q4:S4)</f>
        <v>15277.400000000001</v>
      </c>
      <c r="I5" s="39">
        <f>SUM(Opt1subsidies!T4:V4)</f>
        <v>0</v>
      </c>
      <c r="J5" s="39">
        <f>SUM(Opt1subsidies!W4:Y4)</f>
        <v>0</v>
      </c>
      <c r="K5" s="48">
        <f>SUM(Opt1subsidies!Z4:AB4)</f>
        <v>0</v>
      </c>
    </row>
    <row r="6" spans="1:26" x14ac:dyDescent="0.2">
      <c r="A6" s="12"/>
      <c r="B6" s="12" t="s">
        <v>31</v>
      </c>
      <c r="C6" s="15"/>
      <c r="D6" s="39">
        <f>SUM(Opt1subsidies!E5:G5)</f>
        <v>6640.07</v>
      </c>
      <c r="E6" s="39">
        <f>SUM(Opt1subsidies!H5:J5)</f>
        <v>6854.8099999999995</v>
      </c>
      <c r="F6" s="39">
        <f>SUM(Opt1subsidies!K5:M5)</f>
        <v>6661.8899999999994</v>
      </c>
      <c r="G6" s="39">
        <f>SUM(Opt1subsidies!N5:P5)</f>
        <v>6210.25</v>
      </c>
      <c r="H6" s="47">
        <f>SUM(Opt1subsidies!Q5:S5)</f>
        <v>3819.8599999999988</v>
      </c>
      <c r="I6" s="39">
        <f>SUM(Opt1subsidies!T5:V5)</f>
        <v>0</v>
      </c>
      <c r="J6" s="39">
        <f>SUM(Opt1subsidies!W5:Y5)</f>
        <v>0</v>
      </c>
      <c r="K6" s="48">
        <f>SUM(Opt1subsidies!Z5:AB5)</f>
        <v>0</v>
      </c>
    </row>
    <row r="7" spans="1:26" x14ac:dyDescent="0.2">
      <c r="A7" s="12"/>
      <c r="B7" s="12" t="s">
        <v>103</v>
      </c>
      <c r="C7" s="15"/>
      <c r="D7" s="39"/>
      <c r="E7" s="39"/>
      <c r="F7" s="39"/>
      <c r="G7" s="39"/>
      <c r="H7" s="47">
        <f>SUM(Opt1subsidies!Q6:S6)</f>
        <v>7500</v>
      </c>
      <c r="I7" s="39">
        <f>SUM(Opt1subsidies!T6:V6)</f>
        <v>7500</v>
      </c>
      <c r="J7" s="39">
        <f>SUM(Opt1subsidies!W6:Y6)</f>
        <v>7500</v>
      </c>
      <c r="K7" s="48">
        <f>SUM(Opt1subsidies!Z6:AB6)</f>
        <v>7500</v>
      </c>
    </row>
    <row r="8" spans="1:26" x14ac:dyDescent="0.2">
      <c r="A8" s="12"/>
      <c r="B8" s="12" t="s">
        <v>38</v>
      </c>
      <c r="C8" s="15"/>
      <c r="D8" s="39">
        <f>SUM(Opt1subsidies!E7:G7)</f>
        <v>5219.59</v>
      </c>
      <c r="E8" s="39">
        <f>SUM(Opt1subsidies!H7:J7)</f>
        <v>4755.74</v>
      </c>
      <c r="F8" s="39">
        <f>SUM(Opt1subsidies!K7:M7)</f>
        <v>5720.2992000000013</v>
      </c>
      <c r="G8" s="39">
        <f>SUM(Opt1subsidies!N7:P7)</f>
        <v>7368.6315818181829</v>
      </c>
      <c r="H8" s="47">
        <f>SUM(Opt1subsidies!Q7:S7)</f>
        <v>5267.3314155844164</v>
      </c>
      <c r="I8" s="39">
        <f>SUM(Opt1subsidies!T7:V7)</f>
        <v>4759.4000454545467</v>
      </c>
      <c r="J8" s="39">
        <f>SUM(Opt1subsidies!W7:Y7)</f>
        <v>5805.6768000000011</v>
      </c>
      <c r="K8" s="48">
        <f>SUM(Opt1subsidies!Z7:AB7)</f>
        <v>7374.7299818181818</v>
      </c>
    </row>
    <row r="9" spans="1:26" hidden="1" x14ac:dyDescent="0.2">
      <c r="A9" s="12"/>
      <c r="B9" s="12"/>
      <c r="C9" s="15" t="s">
        <v>51</v>
      </c>
      <c r="D9" s="39"/>
      <c r="E9" s="39"/>
      <c r="F9" s="39"/>
      <c r="G9" s="39"/>
      <c r="H9" s="47"/>
      <c r="I9" s="39"/>
      <c r="J9" s="39"/>
      <c r="K9" s="48"/>
    </row>
    <row r="10" spans="1:26" x14ac:dyDescent="0.2">
      <c r="A10" s="12"/>
      <c r="B10" s="76" t="s">
        <v>59</v>
      </c>
      <c r="C10" s="15"/>
      <c r="D10" s="50"/>
      <c r="E10" s="50"/>
      <c r="F10" s="50"/>
      <c r="G10" s="50"/>
      <c r="H10" s="78">
        <f>Opt1subsidies!Q9</f>
        <v>12500</v>
      </c>
      <c r="I10" s="50"/>
      <c r="J10" s="40"/>
      <c r="K10" s="41"/>
      <c r="L10" s="40"/>
      <c r="M10" s="40"/>
      <c r="N10" s="40"/>
      <c r="O10" s="51"/>
      <c r="P10" s="51"/>
      <c r="Q10" s="51"/>
      <c r="R10" s="51"/>
      <c r="S10" s="51"/>
      <c r="T10" s="51"/>
      <c r="U10" s="40"/>
      <c r="V10" s="40"/>
      <c r="W10" s="40"/>
      <c r="X10" s="40"/>
      <c r="Y10" s="40"/>
      <c r="Z10" s="53"/>
    </row>
    <row r="11" spans="1:26" x14ac:dyDescent="0.2">
      <c r="A11" s="12"/>
      <c r="B11" s="76" t="s">
        <v>60</v>
      </c>
      <c r="C11" s="15"/>
      <c r="D11" s="50"/>
      <c r="E11" s="50"/>
      <c r="F11" s="50"/>
      <c r="G11" s="50"/>
      <c r="H11" s="78">
        <f>Opt1subsidies!Q10</f>
        <v>25000</v>
      </c>
      <c r="I11" s="50"/>
      <c r="J11" s="40"/>
      <c r="K11" s="41"/>
      <c r="L11" s="40"/>
      <c r="M11" s="40"/>
      <c r="N11" s="40"/>
      <c r="O11" s="51"/>
      <c r="P11" s="51"/>
      <c r="Q11" s="51"/>
      <c r="R11" s="51"/>
      <c r="S11" s="51"/>
      <c r="T11" s="51"/>
      <c r="U11" s="40"/>
      <c r="V11" s="40"/>
      <c r="W11" s="40"/>
      <c r="X11" s="40"/>
      <c r="Y11" s="40"/>
      <c r="Z11" s="53"/>
    </row>
    <row r="12" spans="1:26" x14ac:dyDescent="0.2">
      <c r="A12" s="12"/>
      <c r="B12" s="12"/>
      <c r="C12" s="15"/>
      <c r="D12" s="39"/>
      <c r="E12" s="39"/>
      <c r="F12" s="39"/>
      <c r="G12" s="39"/>
      <c r="H12" s="47"/>
      <c r="I12" s="39"/>
      <c r="J12" s="39"/>
      <c r="K12" s="48"/>
    </row>
    <row r="13" spans="1:26" x14ac:dyDescent="0.2">
      <c r="A13" s="12" t="s">
        <v>32</v>
      </c>
      <c r="B13" s="12"/>
      <c r="C13" s="15"/>
      <c r="D13" s="39"/>
      <c r="E13" s="39"/>
      <c r="F13" s="39"/>
      <c r="G13" s="39"/>
      <c r="H13" s="47"/>
      <c r="I13" s="39"/>
      <c r="J13" s="39"/>
      <c r="K13" s="48"/>
    </row>
    <row r="14" spans="1:26" x14ac:dyDescent="0.2">
      <c r="A14" s="12"/>
      <c r="B14" s="12" t="s">
        <v>33</v>
      </c>
      <c r="C14" s="15"/>
      <c r="D14" s="39">
        <f>SUM(Opt1subsidies!E13:G13)</f>
        <v>38419.919999999998</v>
      </c>
      <c r="E14" s="39">
        <f>SUM(Opt1subsidies!H13:J13)</f>
        <v>39029.759999999995</v>
      </c>
      <c r="F14" s="39">
        <f>SUM(Opt1subsidies!K13:M13)</f>
        <v>39029.760000000002</v>
      </c>
      <c r="G14" s="39">
        <f>SUM(Opt1subsidies!N13:P13)</f>
        <v>38419.920000000006</v>
      </c>
      <c r="H14" s="47">
        <f>SUM(Opt1subsidies!Q13:S13)</f>
        <v>39029.760000000002</v>
      </c>
      <c r="I14" s="39">
        <f>SUM(Opt1subsidies!T13:V13)</f>
        <v>39029.760000000002</v>
      </c>
      <c r="J14" s="39">
        <f>SUM(Opt1subsidies!W13:Y13)</f>
        <v>39639.600000000006</v>
      </c>
      <c r="K14" s="48">
        <f>SUM(Opt1subsidies!Z13:AB13)</f>
        <v>38419.920000000006</v>
      </c>
    </row>
    <row r="15" spans="1:26" x14ac:dyDescent="0.2">
      <c r="A15" s="12"/>
      <c r="B15" s="12" t="s">
        <v>34</v>
      </c>
      <c r="C15" s="15"/>
      <c r="D15" s="39">
        <f>SUM(Opt1subsidies!E14:G14)</f>
        <v>0</v>
      </c>
      <c r="E15" s="39">
        <f>SUM(Opt1subsidies!H14:J14)</f>
        <v>0</v>
      </c>
      <c r="F15" s="39">
        <f>SUM(Opt1subsidies!K14:M14)</f>
        <v>0</v>
      </c>
      <c r="G15" s="39">
        <f>SUM(Opt1subsidies!N14:P14)</f>
        <v>0</v>
      </c>
      <c r="H15" s="47">
        <f>SUM(Opt1subsidies!Q14:S14)</f>
        <v>0</v>
      </c>
      <c r="I15" s="39">
        <f>SUM(Opt1subsidies!T14:V14)</f>
        <v>0</v>
      </c>
      <c r="J15" s="39">
        <f>SUM(Opt1subsidies!W14:Y14)</f>
        <v>0</v>
      </c>
      <c r="K15" s="48">
        <f>SUM(Opt1subsidies!Z14:AB14)</f>
        <v>0</v>
      </c>
    </row>
    <row r="16" spans="1:26" x14ac:dyDescent="0.2">
      <c r="A16" s="12"/>
      <c r="B16" s="12" t="s">
        <v>35</v>
      </c>
      <c r="C16" s="15"/>
      <c r="D16" s="39">
        <f>SUM(Opt1subsidies!E15:G15)</f>
        <v>0</v>
      </c>
      <c r="E16" s="39">
        <f>SUM(Opt1subsidies!H15:J15)</f>
        <v>0</v>
      </c>
      <c r="F16" s="39">
        <f>SUM(Opt1subsidies!K15:M15)</f>
        <v>0</v>
      </c>
      <c r="G16" s="39">
        <f>SUM(Opt1subsidies!N15:P15)</f>
        <v>0</v>
      </c>
      <c r="H16" s="47">
        <f>SUM(Opt1subsidies!Q15:S15)</f>
        <v>0</v>
      </c>
      <c r="I16" s="39">
        <f>SUM(Opt1subsidies!T15:V15)</f>
        <v>0</v>
      </c>
      <c r="J16" s="39">
        <f>SUM(Opt1subsidies!W15:Y15)</f>
        <v>0</v>
      </c>
      <c r="K16" s="48">
        <f>SUM(Opt1subsidies!Z15:AB15)</f>
        <v>0</v>
      </c>
    </row>
    <row r="17" spans="1:11" x14ac:dyDescent="0.2">
      <c r="A17" s="12"/>
      <c r="B17" s="12"/>
      <c r="C17" s="15"/>
      <c r="D17" s="39"/>
      <c r="E17" s="39"/>
      <c r="F17" s="39"/>
      <c r="G17" s="39"/>
      <c r="H17" s="47"/>
      <c r="I17" s="39"/>
      <c r="J17" s="39"/>
      <c r="K17" s="48"/>
    </row>
    <row r="18" spans="1:11" x14ac:dyDescent="0.2">
      <c r="A18" s="12" t="s">
        <v>36</v>
      </c>
      <c r="B18" s="12"/>
      <c r="C18" s="15"/>
      <c r="D18" s="39"/>
      <c r="E18" s="39"/>
      <c r="F18" s="39"/>
      <c r="G18" s="39"/>
      <c r="H18" s="47"/>
      <c r="I18" s="39"/>
      <c r="J18" s="39"/>
      <c r="K18" s="48"/>
    </row>
    <row r="19" spans="1:11" x14ac:dyDescent="0.2">
      <c r="A19" s="19"/>
      <c r="B19" s="19" t="s">
        <v>37</v>
      </c>
      <c r="C19" s="77"/>
      <c r="D19" s="71">
        <f>SUM(Opt1subsidies!E14:G14)</f>
        <v>0</v>
      </c>
      <c r="E19" s="71">
        <f>SUM(Opt1subsidies!H14:J14)</f>
        <v>0</v>
      </c>
      <c r="F19" s="71">
        <f>SUM(Opt1subsidies!K14:M14)</f>
        <v>0</v>
      </c>
      <c r="G19" s="71">
        <f>SUM(Opt1subsidies!N14:P14)</f>
        <v>0</v>
      </c>
      <c r="H19" s="70">
        <f>Opt1subsidies!S18</f>
        <v>30336.127756361209</v>
      </c>
      <c r="I19" s="71">
        <f>Opt1subsidies!V18</f>
        <v>3565.767801815753</v>
      </c>
      <c r="J19" s="71">
        <f>Opt1subsidies!Y18</f>
        <v>-22768.155398184248</v>
      </c>
      <c r="K19" s="72">
        <f>Opt1subsidies!AB18</f>
        <v>-46313.345416366072</v>
      </c>
    </row>
    <row r="20" spans="1:11" x14ac:dyDescent="0.2">
      <c r="A20" s="10"/>
      <c r="B20" s="11"/>
      <c r="C20" s="11"/>
      <c r="D20" s="73"/>
      <c r="E20" s="74"/>
      <c r="F20" s="74"/>
      <c r="G20" s="75"/>
      <c r="H20" s="74"/>
      <c r="I20" s="74"/>
      <c r="J20" s="74"/>
      <c r="K20" s="75"/>
    </row>
    <row r="21" spans="1:11" x14ac:dyDescent="0.2">
      <c r="A21" s="12" t="s">
        <v>52</v>
      </c>
      <c r="B21" s="9"/>
      <c r="C21" s="9"/>
      <c r="D21" s="47">
        <f>SUM(Opt1subsidies!E16:G16)</f>
        <v>0</v>
      </c>
      <c r="E21" s="39">
        <v>66766</v>
      </c>
      <c r="F21" s="40">
        <f t="shared" ref="F21:K22" si="0">E21-F5</f>
        <v>40118.43</v>
      </c>
      <c r="G21" s="41">
        <f t="shared" si="0"/>
        <v>15277.400000000001</v>
      </c>
      <c r="H21" s="40">
        <f t="shared" si="0"/>
        <v>0</v>
      </c>
      <c r="I21" s="40">
        <f t="shared" si="0"/>
        <v>0</v>
      </c>
      <c r="J21" s="40">
        <f t="shared" si="0"/>
        <v>0</v>
      </c>
      <c r="K21" s="41">
        <f t="shared" si="0"/>
        <v>0</v>
      </c>
    </row>
    <row r="22" spans="1:11" x14ac:dyDescent="0.2">
      <c r="A22" s="19" t="s">
        <v>102</v>
      </c>
      <c r="B22" s="20"/>
      <c r="C22" s="20"/>
      <c r="D22" s="70">
        <f>SUM(Opt1subsidies!E17:G17)</f>
        <v>0</v>
      </c>
      <c r="E22" s="42">
        <f>83458-E21</f>
        <v>16692</v>
      </c>
      <c r="F22" s="42">
        <f t="shared" si="0"/>
        <v>10030.11</v>
      </c>
      <c r="G22" s="43">
        <f t="shared" si="0"/>
        <v>3819.8600000000006</v>
      </c>
      <c r="H22" s="42">
        <f t="shared" si="0"/>
        <v>0</v>
      </c>
      <c r="I22" s="42">
        <f t="shared" si="0"/>
        <v>0</v>
      </c>
      <c r="J22" s="42">
        <f t="shared" si="0"/>
        <v>0</v>
      </c>
      <c r="K22" s="43">
        <f t="shared" si="0"/>
        <v>0</v>
      </c>
    </row>
    <row r="23" spans="1:11" x14ac:dyDescent="0.2">
      <c r="C23" t="s">
        <v>58</v>
      </c>
      <c r="D23" s="31"/>
      <c r="E23" s="31">
        <f>SUM(E21:E22)</f>
        <v>83458</v>
      </c>
      <c r="F23" s="31">
        <f t="shared" ref="F23:K23" si="1">SUM(F21:F22)</f>
        <v>50148.54</v>
      </c>
      <c r="G23" s="31">
        <f t="shared" si="1"/>
        <v>19097.260000000002</v>
      </c>
      <c r="H23" s="31">
        <f t="shared" si="1"/>
        <v>0</v>
      </c>
      <c r="I23" s="31">
        <f t="shared" si="1"/>
        <v>0</v>
      </c>
      <c r="J23" s="31">
        <f t="shared" si="1"/>
        <v>0</v>
      </c>
      <c r="K23" s="31">
        <f t="shared" si="1"/>
        <v>0</v>
      </c>
    </row>
    <row r="26" spans="1:11" x14ac:dyDescent="0.2">
      <c r="A26" t="s">
        <v>70</v>
      </c>
    </row>
    <row r="27" spans="1:11" x14ac:dyDescent="0.2">
      <c r="B27" t="s">
        <v>71</v>
      </c>
      <c r="E27" s="30">
        <v>11000</v>
      </c>
      <c r="F27" t="s">
        <v>72</v>
      </c>
    </row>
    <row r="28" spans="1:11" x14ac:dyDescent="0.2">
      <c r="F28" t="s">
        <v>73</v>
      </c>
    </row>
  </sheetData>
  <mergeCells count="2">
    <mergeCell ref="D2:G2"/>
    <mergeCell ref="H2:K2"/>
  </mergeCells>
  <pageMargins left="0.25" right="0.25" top="0.75" bottom="0.75" header="0.3" footer="0.3"/>
  <pageSetup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pageSetUpPr fitToPage="1"/>
  </sheetPr>
  <dimension ref="A1:Z28"/>
  <sheetViews>
    <sheetView workbookViewId="0">
      <selection sqref="A1:K24"/>
    </sheetView>
  </sheetViews>
  <sheetFormatPr baseColWidth="10" defaultColWidth="8.83203125" defaultRowHeight="15" x14ac:dyDescent="0.2"/>
  <cols>
    <col min="4" max="7" width="11.83203125" bestFit="1" customWidth="1"/>
    <col min="8" max="8" width="12.33203125" bestFit="1" customWidth="1"/>
    <col min="9" max="11" width="13.5" bestFit="1" customWidth="1"/>
  </cols>
  <sheetData>
    <row r="1" spans="1:26" ht="31" x14ac:dyDescent="0.45">
      <c r="A1" s="81" t="s">
        <v>107</v>
      </c>
    </row>
    <row r="2" spans="1:26" x14ac:dyDescent="0.2">
      <c r="A2" s="10"/>
      <c r="B2" s="10"/>
      <c r="C2" s="38"/>
      <c r="D2" s="182">
        <v>2015</v>
      </c>
      <c r="E2" s="182"/>
      <c r="F2" s="182"/>
      <c r="G2" s="182"/>
      <c r="H2" s="183">
        <v>2016</v>
      </c>
      <c r="I2" s="182"/>
      <c r="J2" s="182"/>
      <c r="K2" s="184"/>
    </row>
    <row r="3" spans="1:26" x14ac:dyDescent="0.2">
      <c r="A3" s="12"/>
      <c r="B3" s="12"/>
      <c r="C3" s="15"/>
      <c r="D3" s="36" t="s">
        <v>54</v>
      </c>
      <c r="E3" s="36" t="s">
        <v>55</v>
      </c>
      <c r="F3" s="36" t="s">
        <v>56</v>
      </c>
      <c r="G3" s="36" t="s">
        <v>57</v>
      </c>
      <c r="H3" s="35" t="s">
        <v>54</v>
      </c>
      <c r="I3" s="36" t="s">
        <v>55</v>
      </c>
      <c r="J3" s="36" t="s">
        <v>56</v>
      </c>
      <c r="K3" s="37" t="s">
        <v>57</v>
      </c>
    </row>
    <row r="4" spans="1:26" x14ac:dyDescent="0.2">
      <c r="A4" s="12" t="s">
        <v>29</v>
      </c>
      <c r="B4" s="12"/>
      <c r="C4" s="15" t="s">
        <v>50</v>
      </c>
      <c r="D4" s="9">
        <f>SUM(Opt1subsidies_V2!E3:G3)</f>
        <v>63</v>
      </c>
      <c r="E4" s="9">
        <f>SUM(Opt1subsidies_V2!H3:J3)</f>
        <v>64</v>
      </c>
      <c r="F4" s="9">
        <f>SUM(Opt1subsidies_V2!K3:M3)</f>
        <v>64</v>
      </c>
      <c r="G4" s="9">
        <f>SUM(Opt1subsidies_V2!N3:P3)</f>
        <v>63</v>
      </c>
      <c r="H4" s="12">
        <f>SUM(Opt1subsidies_V2!Q3:S3)</f>
        <v>64</v>
      </c>
      <c r="I4" s="9">
        <f>SUM(Opt1subsidies_V2!T3:V3)</f>
        <v>64</v>
      </c>
      <c r="J4" s="9">
        <f>SUM(Opt1subsidies_V2!W3:Y3)</f>
        <v>65</v>
      </c>
      <c r="K4" s="15">
        <f>SUM(Opt1subsidies_V2!Z3:AB3)</f>
        <v>63</v>
      </c>
    </row>
    <row r="5" spans="1:26" x14ac:dyDescent="0.2">
      <c r="A5" s="12"/>
      <c r="B5" s="12" t="s">
        <v>30</v>
      </c>
      <c r="C5" s="15"/>
      <c r="D5" s="39">
        <f>SUM(Opt1subsidies_V2!E4:G4)</f>
        <v>26560.260000000002</v>
      </c>
      <c r="E5" s="39">
        <f>SUM(Opt1subsidies_V2!H4:J4)</f>
        <v>27419.21</v>
      </c>
      <c r="F5" s="39">
        <f>SUM(Opt1subsidies_V2!K4:M4)</f>
        <v>26647.57</v>
      </c>
      <c r="G5" s="39">
        <f>SUM(Opt1subsidies_V2!N4:P4)</f>
        <v>24841.03</v>
      </c>
      <c r="H5" s="47">
        <f>SUM(Opt1subsidies_V2!Q4:S4)</f>
        <v>15277.400000000001</v>
      </c>
      <c r="I5" s="39">
        <f>SUM(Opt1subsidies_V2!T4:V4)</f>
        <v>0</v>
      </c>
      <c r="J5" s="39">
        <f>SUM(Opt1subsidies_V2!W4:Y4)</f>
        <v>0</v>
      </c>
      <c r="K5" s="48">
        <f>SUM(Opt1subsidies_V2!Z4:AB4)</f>
        <v>0</v>
      </c>
    </row>
    <row r="6" spans="1:26" x14ac:dyDescent="0.2">
      <c r="A6" s="12"/>
      <c r="B6" s="12" t="s">
        <v>31</v>
      </c>
      <c r="C6" s="15"/>
      <c r="D6" s="39">
        <f>SUM(Opt1subsidies_V2!E5:G5)</f>
        <v>6640.07</v>
      </c>
      <c r="E6" s="39">
        <f>SUM(Opt1subsidies_V2!H5:J5)</f>
        <v>6854.8099999999995</v>
      </c>
      <c r="F6" s="39">
        <f>SUM(Opt1subsidies_V2!K5:M5)</f>
        <v>6661.8899999999994</v>
      </c>
      <c r="G6" s="39">
        <f>SUM(Opt1subsidies_V2!N5:P5)</f>
        <v>6210.25</v>
      </c>
      <c r="H6" s="47">
        <f>SUM(Opt1subsidies_V2!Q5:S5)</f>
        <v>0</v>
      </c>
      <c r="I6" s="39">
        <f>SUM(Opt1subsidies_V2!T5:V5)</f>
        <v>0</v>
      </c>
      <c r="J6" s="39">
        <f>SUM(Opt1subsidies_V2!W5:Y5)</f>
        <v>0</v>
      </c>
      <c r="K6" s="48">
        <f>SUM(Opt1subsidies_V2!Z5:AB5)</f>
        <v>0</v>
      </c>
    </row>
    <row r="7" spans="1:26" x14ac:dyDescent="0.2">
      <c r="A7" s="12"/>
      <c r="B7" s="12" t="s">
        <v>103</v>
      </c>
      <c r="C7" s="15"/>
      <c r="D7" s="39"/>
      <c r="E7" s="39"/>
      <c r="F7" s="39"/>
      <c r="G7" s="39"/>
      <c r="H7" s="47">
        <f>SUM(Opt1subsidies_V2!Q6:S6)</f>
        <v>15000</v>
      </c>
      <c r="I7" s="39">
        <f>SUM(Opt1subsidies_V2!T6:V6)</f>
        <v>15000</v>
      </c>
      <c r="J7" s="39">
        <f>SUM(Opt1subsidies_V2!W6:Y6)</f>
        <v>15000</v>
      </c>
      <c r="K7" s="48">
        <f>SUM(Opt1subsidies_V2!Z6:AB6)</f>
        <v>15000</v>
      </c>
    </row>
    <row r="8" spans="1:26" x14ac:dyDescent="0.2">
      <c r="A8" s="12"/>
      <c r="B8" s="12" t="s">
        <v>38</v>
      </c>
      <c r="C8" s="15"/>
      <c r="D8" s="39">
        <f>SUM(Opt1subsidies_V2!E7:G7)</f>
        <v>5219.59</v>
      </c>
      <c r="E8" s="39">
        <f>SUM(Opt1subsidies_V2!H7:J7)</f>
        <v>4755.74</v>
      </c>
      <c r="F8" s="39">
        <f>SUM(Opt1subsidies_V2!K7:M7)</f>
        <v>5720.2992000000013</v>
      </c>
      <c r="G8" s="39">
        <f>SUM(Opt1subsidies_V2!N7:P7)</f>
        <v>7368.6315818181829</v>
      </c>
      <c r="H8" s="47">
        <f>SUM(Opt1subsidies_V2!Q7:S7)</f>
        <v>5267.3314155844164</v>
      </c>
      <c r="I8" s="39">
        <f>SUM(Opt1subsidies_V2!T7:V7)</f>
        <v>4759.4000454545467</v>
      </c>
      <c r="J8" s="39">
        <f>SUM(Opt1subsidies_V2!W7:Y7)</f>
        <v>5805.6768000000011</v>
      </c>
      <c r="K8" s="48">
        <f>SUM(Opt1subsidies_V2!Z7:AB7)</f>
        <v>7374.7299818181818</v>
      </c>
    </row>
    <row r="9" spans="1:26" hidden="1" x14ac:dyDescent="0.2">
      <c r="A9" s="12"/>
      <c r="B9" s="12"/>
      <c r="C9" s="15" t="s">
        <v>51</v>
      </c>
      <c r="D9" s="39"/>
      <c r="E9" s="39"/>
      <c r="F9" s="39"/>
      <c r="G9" s="39"/>
      <c r="H9" s="47"/>
      <c r="I9" s="39"/>
      <c r="J9" s="39"/>
      <c r="K9" s="48"/>
    </row>
    <row r="10" spans="1:26" x14ac:dyDescent="0.2">
      <c r="A10" s="12"/>
      <c r="B10" s="76" t="s">
        <v>59</v>
      </c>
      <c r="C10" s="15"/>
      <c r="D10" s="50"/>
      <c r="E10" s="50"/>
      <c r="F10" s="50"/>
      <c r="G10" s="50"/>
      <c r="H10" s="78">
        <f>Opt1subsidies_V2!Q9</f>
        <v>12500</v>
      </c>
      <c r="I10" s="50"/>
      <c r="J10" s="40"/>
      <c r="K10" s="41"/>
      <c r="L10" s="40"/>
      <c r="M10" s="40"/>
      <c r="N10" s="40"/>
      <c r="O10" s="51"/>
      <c r="P10" s="51"/>
      <c r="Q10" s="51"/>
      <c r="R10" s="51"/>
      <c r="S10" s="51"/>
      <c r="T10" s="51"/>
      <c r="U10" s="40"/>
      <c r="V10" s="40"/>
      <c r="W10" s="40"/>
      <c r="X10" s="40"/>
      <c r="Y10" s="40"/>
      <c r="Z10" s="53"/>
    </row>
    <row r="11" spans="1:26" x14ac:dyDescent="0.2">
      <c r="A11" s="12"/>
      <c r="B11" s="76" t="s">
        <v>60</v>
      </c>
      <c r="C11" s="15"/>
      <c r="D11" s="50"/>
      <c r="E11" s="50"/>
      <c r="F11" s="50"/>
      <c r="G11" s="50"/>
      <c r="H11" s="78">
        <f>Opt1subsidies_V2!Q10</f>
        <v>25000</v>
      </c>
      <c r="I11" s="50"/>
      <c r="J11" s="40"/>
      <c r="K11" s="41"/>
      <c r="L11" s="40"/>
      <c r="M11" s="40"/>
      <c r="N11" s="40"/>
      <c r="O11" s="51"/>
      <c r="P11" s="51"/>
      <c r="Q11" s="51"/>
      <c r="R11" s="51"/>
      <c r="S11" s="51"/>
      <c r="T11" s="51"/>
      <c r="U11" s="40"/>
      <c r="V11" s="40"/>
      <c r="W11" s="40"/>
      <c r="X11" s="40"/>
      <c r="Y11" s="40"/>
      <c r="Z11" s="53"/>
    </row>
    <row r="12" spans="1:26" x14ac:dyDescent="0.2">
      <c r="A12" s="12"/>
      <c r="B12" s="12"/>
      <c r="C12" s="15"/>
      <c r="D12" s="39"/>
      <c r="E12" s="39"/>
      <c r="F12" s="39"/>
      <c r="G12" s="39"/>
      <c r="H12" s="47"/>
      <c r="I12" s="39"/>
      <c r="J12" s="39"/>
      <c r="K12" s="48"/>
    </row>
    <row r="13" spans="1:26" x14ac:dyDescent="0.2">
      <c r="A13" s="12" t="s">
        <v>32</v>
      </c>
      <c r="B13" s="12"/>
      <c r="C13" s="15"/>
      <c r="D13" s="39"/>
      <c r="E13" s="39"/>
      <c r="F13" s="39"/>
      <c r="G13" s="39"/>
      <c r="H13" s="47"/>
      <c r="I13" s="39"/>
      <c r="J13" s="39"/>
      <c r="K13" s="48"/>
    </row>
    <row r="14" spans="1:26" x14ac:dyDescent="0.2">
      <c r="A14" s="12"/>
      <c r="B14" s="12" t="s">
        <v>33</v>
      </c>
      <c r="C14" s="15"/>
      <c r="D14" s="39">
        <f>SUM(Opt1subsidies_V2!E13:G13)</f>
        <v>38419.919999999998</v>
      </c>
      <c r="E14" s="39">
        <f>SUM(Opt1subsidies_V2!H13:J13)</f>
        <v>39029.759999999995</v>
      </c>
      <c r="F14" s="39">
        <f>SUM(Opt1subsidies_V2!K13:M13)</f>
        <v>39029.760000000002</v>
      </c>
      <c r="G14" s="39">
        <f>SUM(Opt1subsidies_V2!N13:P13)</f>
        <v>38419.920000000006</v>
      </c>
      <c r="H14" s="47">
        <f>SUM(Opt1subsidies_V2!Q13:S13)</f>
        <v>39029.760000000002</v>
      </c>
      <c r="I14" s="39">
        <f>SUM(Opt1subsidies_V2!T13:V13)</f>
        <v>39029.760000000002</v>
      </c>
      <c r="J14" s="39">
        <f>SUM(Opt1subsidies_V2!W13:Y13)</f>
        <v>39639.600000000006</v>
      </c>
      <c r="K14" s="48">
        <f>SUM(Opt1subsidies_V2!Z13:AB13)</f>
        <v>38419.920000000006</v>
      </c>
    </row>
    <row r="15" spans="1:26" x14ac:dyDescent="0.2">
      <c r="A15" s="12"/>
      <c r="B15" s="12" t="s">
        <v>34</v>
      </c>
      <c r="C15" s="15"/>
      <c r="D15" s="39">
        <f>SUM(Opt1subsidies_V2!E14:G14)</f>
        <v>0</v>
      </c>
      <c r="E15" s="39">
        <f>SUM(Opt1subsidies_V2!H14:J14)</f>
        <v>0</v>
      </c>
      <c r="F15" s="39">
        <f>SUM(Opt1subsidies_V2!K14:M14)</f>
        <v>0</v>
      </c>
      <c r="G15" s="39">
        <f>SUM(Opt1subsidies_V2!N14:P14)</f>
        <v>0</v>
      </c>
      <c r="H15" s="47">
        <f>SUM(Opt1subsidies_V2!Q14:S14)</f>
        <v>0</v>
      </c>
      <c r="I15" s="39">
        <f>SUM(Opt1subsidies_V2!T14:V14)</f>
        <v>0</v>
      </c>
      <c r="J15" s="39">
        <f>SUM(Opt1subsidies_V2!W14:Y14)</f>
        <v>0</v>
      </c>
      <c r="K15" s="48">
        <f>SUM(Opt1subsidies_V2!Z14:AB14)</f>
        <v>0</v>
      </c>
    </row>
    <row r="16" spans="1:26" x14ac:dyDescent="0.2">
      <c r="A16" s="12"/>
      <c r="B16" s="12" t="s">
        <v>35</v>
      </c>
      <c r="C16" s="15"/>
      <c r="D16" s="39">
        <f>SUM(Opt1subsidies_V2!E15:G15)</f>
        <v>0</v>
      </c>
      <c r="E16" s="39">
        <f>SUM(Opt1subsidies_V2!H15:J15)</f>
        <v>0</v>
      </c>
      <c r="F16" s="39">
        <f>SUM(Opt1subsidies_V2!K15:M15)</f>
        <v>0</v>
      </c>
      <c r="G16" s="39">
        <f>SUM(Opt1subsidies_V2!N15:P15)</f>
        <v>0</v>
      </c>
      <c r="H16" s="47">
        <f>SUM(Opt1subsidies_V2!Q15:S15)</f>
        <v>0</v>
      </c>
      <c r="I16" s="39">
        <f>SUM(Opt1subsidies_V2!T15:V15)</f>
        <v>0</v>
      </c>
      <c r="J16" s="39">
        <f>SUM(Opt1subsidies_V2!W15:Y15)</f>
        <v>0</v>
      </c>
      <c r="K16" s="48">
        <f>SUM(Opt1subsidies_V2!Z15:AB15)</f>
        <v>0</v>
      </c>
    </row>
    <row r="17" spans="1:11" x14ac:dyDescent="0.2">
      <c r="A17" s="12"/>
      <c r="B17" s="12"/>
      <c r="C17" s="15"/>
      <c r="D17" s="39"/>
      <c r="E17" s="39"/>
      <c r="F17" s="39"/>
      <c r="G17" s="39"/>
      <c r="H17" s="47"/>
      <c r="I17" s="39"/>
      <c r="J17" s="39"/>
      <c r="K17" s="48"/>
    </row>
    <row r="18" spans="1:11" x14ac:dyDescent="0.2">
      <c r="A18" s="12" t="s">
        <v>36</v>
      </c>
      <c r="B18" s="12"/>
      <c r="C18" s="15"/>
      <c r="D18" s="39"/>
      <c r="E18" s="39"/>
      <c r="F18" s="39"/>
      <c r="G18" s="39"/>
      <c r="H18" s="47"/>
      <c r="I18" s="39"/>
      <c r="J18" s="39"/>
      <c r="K18" s="48"/>
    </row>
    <row r="19" spans="1:11" x14ac:dyDescent="0.2">
      <c r="A19" s="19"/>
      <c r="B19" s="19" t="s">
        <v>37</v>
      </c>
      <c r="C19" s="77"/>
      <c r="D19" s="71">
        <f>SUM(Opt1subsidies_V2!E14:G14)</f>
        <v>0</v>
      </c>
      <c r="E19" s="71">
        <f>SUM(Opt1subsidies_V2!H14:J14)</f>
        <v>0</v>
      </c>
      <c r="F19" s="71">
        <f>SUM(Opt1subsidies_V2!K14:M14)</f>
        <v>0</v>
      </c>
      <c r="G19" s="71">
        <f>SUM(Opt1subsidies_V2!N14:P14)</f>
        <v>0</v>
      </c>
      <c r="H19" s="70">
        <f>Opt1subsidies_V2!S18</f>
        <v>34016.267756361209</v>
      </c>
      <c r="I19" s="71">
        <f>Opt1subsidies_V2!V18</f>
        <v>14745.907801815752</v>
      </c>
      <c r="J19" s="71">
        <f>Opt1subsidies_V2!Y18</f>
        <v>-4088.0153981842486</v>
      </c>
      <c r="K19" s="72">
        <f>Opt1subsidies_V2!AB18</f>
        <v>-20133.205416366072</v>
      </c>
    </row>
    <row r="20" spans="1:11" x14ac:dyDescent="0.2">
      <c r="A20" s="10"/>
      <c r="B20" s="11"/>
      <c r="C20" s="11"/>
      <c r="D20" s="73"/>
      <c r="E20" s="74"/>
      <c r="F20" s="74"/>
      <c r="G20" s="75"/>
      <c r="H20" s="74"/>
      <c r="I20" s="74"/>
      <c r="J20" s="74"/>
      <c r="K20" s="75"/>
    </row>
    <row r="21" spans="1:11" x14ac:dyDescent="0.2">
      <c r="A21" s="12" t="s">
        <v>52</v>
      </c>
      <c r="B21" s="9"/>
      <c r="C21" s="9"/>
      <c r="D21" s="47">
        <f>SUM(Opt1subsidies_V2!E16:G16)</f>
        <v>0</v>
      </c>
      <c r="E21" s="39">
        <v>66766</v>
      </c>
      <c r="F21" s="40">
        <f t="shared" ref="F21:K22" si="0">E21-F5</f>
        <v>40118.43</v>
      </c>
      <c r="G21" s="41">
        <f t="shared" si="0"/>
        <v>15277.400000000001</v>
      </c>
      <c r="H21" s="40">
        <f t="shared" si="0"/>
        <v>0</v>
      </c>
      <c r="I21" s="40">
        <f t="shared" si="0"/>
        <v>0</v>
      </c>
      <c r="J21" s="40">
        <f t="shared" si="0"/>
        <v>0</v>
      </c>
      <c r="K21" s="41">
        <f t="shared" si="0"/>
        <v>0</v>
      </c>
    </row>
    <row r="22" spans="1:11" x14ac:dyDescent="0.2">
      <c r="A22" s="19" t="s">
        <v>102</v>
      </c>
      <c r="B22" s="20"/>
      <c r="C22" s="20"/>
      <c r="D22" s="70">
        <f>SUM(Opt1subsidies_V2!E17:G17)</f>
        <v>0</v>
      </c>
      <c r="E22" s="42">
        <f>83458-E21</f>
        <v>16692</v>
      </c>
      <c r="F22" s="42">
        <f t="shared" si="0"/>
        <v>10030.11</v>
      </c>
      <c r="G22" s="43"/>
      <c r="H22" s="42">
        <f t="shared" si="0"/>
        <v>0</v>
      </c>
      <c r="I22" s="42">
        <f t="shared" si="0"/>
        <v>0</v>
      </c>
      <c r="J22" s="42">
        <f t="shared" si="0"/>
        <v>0</v>
      </c>
      <c r="K22" s="43">
        <f t="shared" si="0"/>
        <v>0</v>
      </c>
    </row>
    <row r="23" spans="1:11" x14ac:dyDescent="0.2">
      <c r="C23" t="s">
        <v>58</v>
      </c>
      <c r="D23" s="31"/>
      <c r="E23" s="31">
        <f>SUM(E21:E22)</f>
        <v>83458</v>
      </c>
      <c r="F23" s="31">
        <f t="shared" ref="F23:K23" si="1">SUM(F21:F22)</f>
        <v>50148.54</v>
      </c>
      <c r="G23" s="31">
        <f t="shared" si="1"/>
        <v>15277.400000000001</v>
      </c>
      <c r="H23" s="31">
        <f t="shared" si="1"/>
        <v>0</v>
      </c>
      <c r="I23" s="31">
        <f t="shared" si="1"/>
        <v>0</v>
      </c>
      <c r="J23" s="31">
        <f t="shared" si="1"/>
        <v>0</v>
      </c>
      <c r="K23" s="31">
        <f t="shared" si="1"/>
        <v>0</v>
      </c>
    </row>
    <row r="26" spans="1:11" x14ac:dyDescent="0.2">
      <c r="A26" t="s">
        <v>70</v>
      </c>
    </row>
    <row r="27" spans="1:11" x14ac:dyDescent="0.2">
      <c r="B27" t="s">
        <v>71</v>
      </c>
      <c r="E27" s="30">
        <v>11000</v>
      </c>
      <c r="F27" t="s">
        <v>72</v>
      </c>
    </row>
    <row r="28" spans="1:11" x14ac:dyDescent="0.2">
      <c r="F28" t="s">
        <v>73</v>
      </c>
    </row>
  </sheetData>
  <mergeCells count="2">
    <mergeCell ref="D2:G2"/>
    <mergeCell ref="H2:K2"/>
  </mergeCells>
  <pageMargins left="0.25" right="0.25" top="0.75" bottom="0.75" header="0.3" footer="0.3"/>
  <pageSetup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>
    <pageSetUpPr fitToPage="1"/>
  </sheetPr>
  <dimension ref="A1:K26"/>
  <sheetViews>
    <sheetView workbookViewId="0">
      <selection activeCell="A19" sqref="A19"/>
    </sheetView>
  </sheetViews>
  <sheetFormatPr baseColWidth="10" defaultColWidth="8.83203125" defaultRowHeight="15" x14ac:dyDescent="0.2"/>
  <cols>
    <col min="3" max="3" width="9.6640625" bestFit="1" customWidth="1"/>
    <col min="4" max="7" width="11.83203125" bestFit="1" customWidth="1"/>
    <col min="8" max="8" width="12.33203125" bestFit="1" customWidth="1"/>
    <col min="9" max="11" width="13.5" bestFit="1" customWidth="1"/>
  </cols>
  <sheetData>
    <row r="1" spans="1:11" ht="31" x14ac:dyDescent="0.45">
      <c r="A1" s="81" t="s">
        <v>82</v>
      </c>
    </row>
    <row r="2" spans="1:11" x14ac:dyDescent="0.2">
      <c r="A2" s="10"/>
      <c r="B2" s="10"/>
      <c r="C2" s="11"/>
      <c r="D2" s="183">
        <v>2015</v>
      </c>
      <c r="E2" s="182"/>
      <c r="F2" s="182"/>
      <c r="G2" s="184"/>
      <c r="H2" s="182">
        <v>2016</v>
      </c>
      <c r="I2" s="182"/>
      <c r="J2" s="182"/>
      <c r="K2" s="184"/>
    </row>
    <row r="3" spans="1:11" x14ac:dyDescent="0.2">
      <c r="A3" s="12"/>
      <c r="B3" s="12"/>
      <c r="C3" s="9"/>
      <c r="D3" s="35" t="s">
        <v>54</v>
      </c>
      <c r="E3" s="36" t="s">
        <v>55</v>
      </c>
      <c r="F3" s="36" t="s">
        <v>56</v>
      </c>
      <c r="G3" s="37" t="s">
        <v>57</v>
      </c>
      <c r="H3" s="36" t="s">
        <v>54</v>
      </c>
      <c r="I3" s="36" t="s">
        <v>55</v>
      </c>
      <c r="J3" s="36" t="s">
        <v>56</v>
      </c>
      <c r="K3" s="37" t="s">
        <v>57</v>
      </c>
    </row>
    <row r="4" spans="1:11" x14ac:dyDescent="0.2">
      <c r="A4" s="12" t="s">
        <v>29</v>
      </c>
      <c r="B4" s="12"/>
      <c r="C4" s="9" t="s">
        <v>50</v>
      </c>
      <c r="D4" s="12">
        <f>SUM(Opt2Costs!E3:G3)</f>
        <v>63</v>
      </c>
      <c r="E4" s="9">
        <f>SUM(Opt2Costs!H3:J3)</f>
        <v>64</v>
      </c>
      <c r="F4" s="9">
        <f>SUM(Opt2Costs!K3:M3)</f>
        <v>64</v>
      </c>
      <c r="G4" s="15">
        <f>SUM(Opt2Costs!N3:P3)</f>
        <v>63</v>
      </c>
      <c r="H4" s="9">
        <f>SUM(Opt2Costs!Q3:S3)</f>
        <v>64</v>
      </c>
      <c r="I4" s="9">
        <f>SUM(Opt2Costs!T3:V3)</f>
        <v>64</v>
      </c>
      <c r="J4" s="9">
        <f>SUM(Opt2Costs!W3:Y3)</f>
        <v>65</v>
      </c>
      <c r="K4" s="15">
        <f>SUM(Opt2Costs!Z3:AB3)</f>
        <v>63</v>
      </c>
    </row>
    <row r="5" spans="1:11" x14ac:dyDescent="0.2">
      <c r="A5" s="12"/>
      <c r="B5" s="12" t="s">
        <v>30</v>
      </c>
      <c r="C5" s="9"/>
      <c r="D5" s="47">
        <f>SUM(Opt2Costs!E4:G4)</f>
        <v>26560.260000000002</v>
      </c>
      <c r="E5" s="39">
        <f>SUM(Opt2Costs!H4:J4)</f>
        <v>27419.21</v>
      </c>
      <c r="F5" s="39">
        <f>SUM(Opt2Costs!K4:M4)</f>
        <v>26647.57</v>
      </c>
      <c r="G5" s="48">
        <f>SUM(Opt2Costs!N4:P4)</f>
        <v>24841.03</v>
      </c>
      <c r="H5" s="39">
        <f>SUM(Opt2Costs!Q4:S4)</f>
        <v>15277.400000000001</v>
      </c>
      <c r="I5" s="39">
        <f>SUM(Opt2Costs!T4:V4)</f>
        <v>0</v>
      </c>
      <c r="J5" s="39">
        <f>SUM(Opt2Costs!W4:Y4)</f>
        <v>0</v>
      </c>
      <c r="K5" s="48">
        <f>SUM(Opt2Costs!Z4:AB4)</f>
        <v>0</v>
      </c>
    </row>
    <row r="6" spans="1:11" x14ac:dyDescent="0.2">
      <c r="A6" s="12"/>
      <c r="B6" s="12" t="s">
        <v>31</v>
      </c>
      <c r="C6" s="9"/>
      <c r="D6" s="47">
        <f>SUM(Opt2Costs!E5:G5)</f>
        <v>6640.07</v>
      </c>
      <c r="E6" s="39">
        <f>SUM(Opt2Costs!H5:J5)</f>
        <v>6854.8099999999995</v>
      </c>
      <c r="F6" s="39">
        <f>SUM(Opt2Costs!K5:M5)</f>
        <v>6661.8899999999994</v>
      </c>
      <c r="G6" s="48">
        <f>SUM(Opt2Costs!N5:P5)</f>
        <v>6210.25</v>
      </c>
      <c r="H6" s="39">
        <f>SUM(Opt2Costs!Q5:S5)</f>
        <v>3819.8599999999988</v>
      </c>
      <c r="I6" s="39">
        <f>SUM(Opt2Costs!T5:V5)</f>
        <v>0</v>
      </c>
      <c r="J6" s="39">
        <f>SUM(Opt2Costs!W5:Y5)</f>
        <v>0</v>
      </c>
      <c r="K6" s="48">
        <f>SUM(Opt2Costs!Z5:AB5)</f>
        <v>0</v>
      </c>
    </row>
    <row r="7" spans="1:11" x14ac:dyDescent="0.2">
      <c r="A7" s="12"/>
      <c r="B7" s="12" t="s">
        <v>38</v>
      </c>
      <c r="C7" s="9"/>
      <c r="D7" s="47">
        <f>SUM(Opt2Costs!E6:G6)</f>
        <v>5219.59</v>
      </c>
      <c r="E7" s="39">
        <f>SUM(Opt2Costs!H6:J6)</f>
        <v>4755.74</v>
      </c>
      <c r="F7" s="39">
        <f>SUM(Opt2Costs!K6:M6)</f>
        <v>5720.2992000000013</v>
      </c>
      <c r="G7" s="48">
        <f>SUM(Opt2Costs!N6:P6)</f>
        <v>7368.6315818181829</v>
      </c>
      <c r="H7" s="39">
        <f>SUM(Opt2Costs!Q6:S6)</f>
        <v>5267.3314155844164</v>
      </c>
      <c r="I7" s="39">
        <f>SUM(Opt2Costs!T6:V6)</f>
        <v>4759.4000454545467</v>
      </c>
      <c r="J7" s="39">
        <f>SUM(Opt2Costs!W6:Y6)</f>
        <v>5805.6768000000011</v>
      </c>
      <c r="K7" s="48">
        <f>SUM(Opt2Costs!Z6:AB6)</f>
        <v>7374.7299818181818</v>
      </c>
    </row>
    <row r="8" spans="1:11" hidden="1" x14ac:dyDescent="0.2">
      <c r="A8" s="12"/>
      <c r="B8" s="12"/>
      <c r="C8" s="9" t="s">
        <v>51</v>
      </c>
      <c r="D8" s="47"/>
      <c r="E8" s="39"/>
      <c r="F8" s="39"/>
      <c r="G8" s="48"/>
      <c r="H8" s="39"/>
      <c r="I8" s="39"/>
      <c r="J8" s="39"/>
      <c r="K8" s="48"/>
    </row>
    <row r="9" spans="1:11" x14ac:dyDescent="0.2">
      <c r="A9" s="12"/>
      <c r="B9" s="12"/>
      <c r="C9" s="9"/>
      <c r="D9" s="47"/>
      <c r="E9" s="39"/>
      <c r="F9" s="39"/>
      <c r="G9" s="48"/>
      <c r="H9" s="39"/>
      <c r="I9" s="39"/>
      <c r="J9" s="39"/>
      <c r="K9" s="48"/>
    </row>
    <row r="10" spans="1:11" x14ac:dyDescent="0.2">
      <c r="A10" s="12" t="s">
        <v>32</v>
      </c>
      <c r="B10" s="12"/>
      <c r="C10" s="9"/>
      <c r="D10" s="47"/>
      <c r="E10" s="39"/>
      <c r="F10" s="39"/>
      <c r="G10" s="48"/>
      <c r="H10" s="39"/>
      <c r="I10" s="39"/>
      <c r="J10" s="39"/>
      <c r="K10" s="48"/>
    </row>
    <row r="11" spans="1:11" x14ac:dyDescent="0.2">
      <c r="A11" s="12"/>
      <c r="B11" s="12" t="s">
        <v>33</v>
      </c>
      <c r="C11" s="9"/>
      <c r="D11" s="47">
        <f>SUM(Opt2Costs!E10:G10)</f>
        <v>38419.919999999998</v>
      </c>
      <c r="E11" s="39">
        <f>SUM(Opt2Costs!H10:J10)</f>
        <v>39029.759999999995</v>
      </c>
      <c r="F11" s="39">
        <f>SUM(Opt2Costs!K10:M10)</f>
        <v>39029.760000000002</v>
      </c>
      <c r="G11" s="48">
        <f>SUM(Opt2Costs!N10:P10)</f>
        <v>38419.920000000006</v>
      </c>
      <c r="H11" s="39">
        <f>SUM(Opt2Costs!Q10:S10)</f>
        <v>31223.808000000005</v>
      </c>
      <c r="I11" s="39">
        <f>SUM(Opt2Costs!T10:V10)</f>
        <v>31223.808000000005</v>
      </c>
      <c r="J11" s="39">
        <f>SUM(Opt2Costs!W10:Y10)</f>
        <v>31711.680000000004</v>
      </c>
      <c r="K11" s="48">
        <f>SUM(Opt2Costs!Z10:AB10)</f>
        <v>30735.936000000005</v>
      </c>
    </row>
    <row r="12" spans="1:11" x14ac:dyDescent="0.2">
      <c r="A12" s="12"/>
      <c r="B12" s="12" t="s">
        <v>34</v>
      </c>
      <c r="C12" s="9"/>
      <c r="D12" s="47">
        <f>SUM(Opt2Costs!E11:G11)</f>
        <v>0</v>
      </c>
      <c r="E12" s="39">
        <f>SUM(Opt2Costs!H11:J11)</f>
        <v>0</v>
      </c>
      <c r="F12" s="39">
        <f>SUM(Opt2Costs!K11:M11)</f>
        <v>0</v>
      </c>
      <c r="G12" s="48">
        <f>SUM(Opt2Costs!N11:P11)</f>
        <v>0</v>
      </c>
      <c r="H12" s="39">
        <f>SUM(Opt2Costs!Q11:S11)</f>
        <v>0</v>
      </c>
      <c r="I12" s="39">
        <f>SUM(Opt2Costs!T11:V11)</f>
        <v>0</v>
      </c>
      <c r="J12" s="39">
        <f>SUM(Opt2Costs!W11:Y11)</f>
        <v>0</v>
      </c>
      <c r="K12" s="48">
        <f>SUM(Opt2Costs!Z11:AB11)</f>
        <v>0</v>
      </c>
    </row>
    <row r="13" spans="1:11" x14ac:dyDescent="0.2">
      <c r="A13" s="12"/>
      <c r="B13" s="12" t="s">
        <v>35</v>
      </c>
      <c r="C13" s="9"/>
      <c r="D13" s="47">
        <f>SUM(Opt2Costs!E12:G12)</f>
        <v>0</v>
      </c>
      <c r="E13" s="39">
        <f>SUM(Opt2Costs!H12:J12)</f>
        <v>0</v>
      </c>
      <c r="F13" s="39">
        <f>SUM(Opt2Costs!K12:M12)</f>
        <v>0</v>
      </c>
      <c r="G13" s="48">
        <f>SUM(Opt2Costs!N12:P12)</f>
        <v>0</v>
      </c>
      <c r="H13" s="39">
        <f>SUM(Opt2Costs!Q12:S12)</f>
        <v>0</v>
      </c>
      <c r="I13" s="39">
        <f>SUM(Opt2Costs!T12:V12)</f>
        <v>0</v>
      </c>
      <c r="J13" s="39">
        <f>SUM(Opt2Costs!W12:Y12)</f>
        <v>0</v>
      </c>
      <c r="K13" s="48">
        <f>SUM(Opt2Costs!Z12:AB12)</f>
        <v>0</v>
      </c>
    </row>
    <row r="14" spans="1:11" x14ac:dyDescent="0.2">
      <c r="A14" s="12"/>
      <c r="B14" s="12"/>
      <c r="C14" s="9"/>
      <c r="D14" s="47"/>
      <c r="E14" s="39"/>
      <c r="F14" s="39"/>
      <c r="G14" s="48"/>
      <c r="H14" s="39"/>
      <c r="I14" s="39"/>
      <c r="J14" s="39"/>
      <c r="K14" s="48"/>
    </row>
    <row r="15" spans="1:11" x14ac:dyDescent="0.2">
      <c r="A15" s="12" t="s">
        <v>36</v>
      </c>
      <c r="B15" s="12"/>
      <c r="C15" s="9"/>
      <c r="D15" s="47"/>
      <c r="E15" s="39"/>
      <c r="F15" s="39"/>
      <c r="G15" s="48"/>
      <c r="H15" s="39"/>
      <c r="I15" s="39"/>
      <c r="J15" s="39"/>
      <c r="K15" s="48"/>
    </row>
    <row r="16" spans="1:11" x14ac:dyDescent="0.2">
      <c r="A16" s="19"/>
      <c r="B16" s="19" t="s">
        <v>37</v>
      </c>
      <c r="C16" s="20"/>
      <c r="D16" s="70">
        <f>SUM(Opt2Costs!E15:G15)</f>
        <v>0</v>
      </c>
      <c r="E16" s="71">
        <f>SUM(Opt2Costs!H15:J15)</f>
        <v>0</v>
      </c>
      <c r="F16" s="71">
        <f>SUM(Opt2Costs!K15:M15)</f>
        <v>-6.8000000010215444E-3</v>
      </c>
      <c r="G16" s="72">
        <f>SUM(Opt2Costs!N15:P15)</f>
        <v>-1.6018181831896072E-2</v>
      </c>
      <c r="H16" s="71">
        <f>Opt2Costs!S15</f>
        <v>-6859.2258025974115</v>
      </c>
      <c r="I16" s="71">
        <f>Opt2Costs!V15</f>
        <v>-33323.633757142867</v>
      </c>
      <c r="J16" s="71">
        <f>Opt2Costs!Y15</f>
        <v>-59229.636957142873</v>
      </c>
      <c r="K16" s="72">
        <f>Opt2Costs!AB15</f>
        <v>-82590.842975324689</v>
      </c>
    </row>
    <row r="17" spans="1:11" x14ac:dyDescent="0.2">
      <c r="A17" s="10"/>
      <c r="B17" s="11"/>
      <c r="C17" s="11"/>
      <c r="D17" s="73"/>
      <c r="E17" s="74"/>
      <c r="F17" s="74"/>
      <c r="G17" s="75"/>
      <c r="H17" s="74"/>
      <c r="I17" s="74"/>
      <c r="J17" s="74"/>
      <c r="K17" s="75"/>
    </row>
    <row r="18" spans="1:11" x14ac:dyDescent="0.2">
      <c r="A18" s="12" t="s">
        <v>52</v>
      </c>
      <c r="B18" s="9"/>
      <c r="C18" s="9"/>
      <c r="D18" s="47">
        <f>SUM(Opt2Costs!E17:G17)</f>
        <v>0</v>
      </c>
      <c r="E18" s="39">
        <v>66766</v>
      </c>
      <c r="F18" s="40">
        <f>E18-F5</f>
        <v>40118.43</v>
      </c>
      <c r="G18" s="41">
        <f t="shared" ref="G18:K19" si="0">F18-G5</f>
        <v>15277.400000000001</v>
      </c>
      <c r="H18" s="40">
        <f t="shared" si="0"/>
        <v>0</v>
      </c>
      <c r="I18" s="40">
        <f t="shared" si="0"/>
        <v>0</v>
      </c>
      <c r="J18" s="40">
        <f t="shared" si="0"/>
        <v>0</v>
      </c>
      <c r="K18" s="41">
        <f t="shared" si="0"/>
        <v>0</v>
      </c>
    </row>
    <row r="19" spans="1:11" x14ac:dyDescent="0.2">
      <c r="A19" s="19" t="s">
        <v>102</v>
      </c>
      <c r="B19" s="20"/>
      <c r="C19" s="20"/>
      <c r="D19" s="70">
        <f>SUM(Opt2Costs!E18:G18)</f>
        <v>0</v>
      </c>
      <c r="E19" s="42">
        <f>83458-E18</f>
        <v>16692</v>
      </c>
      <c r="F19" s="42">
        <f>E19-F6</f>
        <v>10030.11</v>
      </c>
      <c r="G19" s="43">
        <f t="shared" si="0"/>
        <v>3819.8600000000006</v>
      </c>
      <c r="H19" s="42">
        <f t="shared" si="0"/>
        <v>0</v>
      </c>
      <c r="I19" s="42">
        <f t="shared" si="0"/>
        <v>0</v>
      </c>
      <c r="J19" s="42">
        <f t="shared" si="0"/>
        <v>0</v>
      </c>
      <c r="K19" s="43">
        <f t="shared" si="0"/>
        <v>0</v>
      </c>
    </row>
    <row r="20" spans="1:11" x14ac:dyDescent="0.2">
      <c r="C20" t="s">
        <v>58</v>
      </c>
      <c r="D20" s="31"/>
      <c r="E20" s="31">
        <f>SUM(E18:E19)</f>
        <v>83458</v>
      </c>
      <c r="F20" s="31">
        <f t="shared" ref="F20:K20" si="1">SUM(F18:F19)</f>
        <v>50148.54</v>
      </c>
      <c r="G20" s="31">
        <f t="shared" si="1"/>
        <v>19097.260000000002</v>
      </c>
      <c r="H20" s="31">
        <f t="shared" si="1"/>
        <v>0</v>
      </c>
      <c r="I20" s="31">
        <f t="shared" si="1"/>
        <v>0</v>
      </c>
      <c r="J20" s="31">
        <f t="shared" si="1"/>
        <v>0</v>
      </c>
      <c r="K20" s="31">
        <f t="shared" si="1"/>
        <v>0</v>
      </c>
    </row>
    <row r="23" spans="1:11" x14ac:dyDescent="0.2">
      <c r="A23" t="s">
        <v>74</v>
      </c>
      <c r="C23" s="30"/>
    </row>
    <row r="24" spans="1:11" x14ac:dyDescent="0.2">
      <c r="A24" s="67"/>
      <c r="B24" s="68">
        <v>0.2</v>
      </c>
      <c r="C24" s="30" t="s">
        <v>86</v>
      </c>
    </row>
    <row r="25" spans="1:11" x14ac:dyDescent="0.2">
      <c r="C25" s="31"/>
    </row>
    <row r="26" spans="1:11" x14ac:dyDescent="0.2">
      <c r="C26" s="61"/>
    </row>
  </sheetData>
  <mergeCells count="2">
    <mergeCell ref="D2:G2"/>
    <mergeCell ref="H2:K2"/>
  </mergeCells>
  <pageMargins left="0.7" right="0.7" top="0.75" bottom="0.75" header="0.3" footer="0.3"/>
  <pageSetup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6">
    <pageSetUpPr fitToPage="1"/>
  </sheetPr>
  <dimension ref="A1:K28"/>
  <sheetViews>
    <sheetView workbookViewId="0">
      <selection activeCell="H13" sqref="H13:K13"/>
    </sheetView>
  </sheetViews>
  <sheetFormatPr baseColWidth="10" defaultColWidth="8.83203125" defaultRowHeight="15" x14ac:dyDescent="0.2"/>
  <cols>
    <col min="3" max="3" width="9.6640625" bestFit="1" customWidth="1"/>
    <col min="4" max="7" width="11.83203125" bestFit="1" customWidth="1"/>
    <col min="8" max="8" width="12.33203125" bestFit="1" customWidth="1"/>
    <col min="9" max="11" width="13.5" bestFit="1" customWidth="1"/>
  </cols>
  <sheetData>
    <row r="1" spans="1:11" ht="31" x14ac:dyDescent="0.45">
      <c r="A1" s="81" t="s">
        <v>87</v>
      </c>
    </row>
    <row r="2" spans="1:11" x14ac:dyDescent="0.2">
      <c r="A2" s="10"/>
      <c r="B2" s="10"/>
      <c r="C2" s="11"/>
      <c r="D2" s="183">
        <v>2015</v>
      </c>
      <c r="E2" s="182"/>
      <c r="F2" s="182"/>
      <c r="G2" s="184"/>
      <c r="H2" s="182">
        <v>2016</v>
      </c>
      <c r="I2" s="182"/>
      <c r="J2" s="182"/>
      <c r="K2" s="184"/>
    </row>
    <row r="3" spans="1:11" x14ac:dyDescent="0.2">
      <c r="A3" s="12"/>
      <c r="B3" s="12"/>
      <c r="C3" s="9"/>
      <c r="D3" s="35" t="s">
        <v>54</v>
      </c>
      <c r="E3" s="36" t="s">
        <v>55</v>
      </c>
      <c r="F3" s="36" t="s">
        <v>56</v>
      </c>
      <c r="G3" s="37" t="s">
        <v>57</v>
      </c>
      <c r="H3" s="36" t="s">
        <v>54</v>
      </c>
      <c r="I3" s="36" t="s">
        <v>55</v>
      </c>
      <c r="J3" s="36" t="s">
        <v>56</v>
      </c>
      <c r="K3" s="37" t="s">
        <v>57</v>
      </c>
    </row>
    <row r="4" spans="1:11" x14ac:dyDescent="0.2">
      <c r="A4" s="12" t="s">
        <v>29</v>
      </c>
      <c r="B4" s="12"/>
      <c r="C4" s="9" t="s">
        <v>50</v>
      </c>
      <c r="D4" s="12">
        <f>SUM(Opt2_5!E3:G3)</f>
        <v>63</v>
      </c>
      <c r="E4" s="9">
        <f>SUM(Opt2_5!H3:J3)</f>
        <v>64</v>
      </c>
      <c r="F4" s="9">
        <f>SUM(Opt2_5!K3:M3)</f>
        <v>64</v>
      </c>
      <c r="G4" s="15">
        <f>SUM(Opt2_5!N3:P3)</f>
        <v>63</v>
      </c>
      <c r="H4" s="9">
        <f>SUM(Opt2_5!Q3:S3)</f>
        <v>64</v>
      </c>
      <c r="I4" s="9">
        <f>SUM(Opt2_5!T3:V3)</f>
        <v>64</v>
      </c>
      <c r="J4" s="9">
        <f>SUM(Opt2_5!W3:Y3)</f>
        <v>65</v>
      </c>
      <c r="K4" s="15">
        <f>SUM(Opt2_5!Z3:AB3)</f>
        <v>63</v>
      </c>
    </row>
    <row r="5" spans="1:11" x14ac:dyDescent="0.2">
      <c r="A5" s="12"/>
      <c r="B5" s="12" t="s">
        <v>30</v>
      </c>
      <c r="C5" s="9"/>
      <c r="D5" s="47">
        <f>SUM(Opt2_5!E4:G4)</f>
        <v>26560.260000000002</v>
      </c>
      <c r="E5" s="39">
        <f>SUM(Opt2_5!H4:J4)</f>
        <v>27419.21</v>
      </c>
      <c r="F5" s="39">
        <f>SUM(Opt2_5!K4:M4)</f>
        <v>26647.57</v>
      </c>
      <c r="G5" s="48">
        <f>SUM(Opt2_5!N4:P4)</f>
        <v>24841.03</v>
      </c>
      <c r="H5" s="39">
        <f>SUM(Opt2_5!Q4:S4)</f>
        <v>15277.400000000001</v>
      </c>
      <c r="I5" s="39">
        <f>SUM(Opt2_5!T4:V4)</f>
        <v>0</v>
      </c>
      <c r="J5" s="39">
        <f>SUM(Opt2_5!W4:Y4)</f>
        <v>0</v>
      </c>
      <c r="K5" s="48">
        <f>SUM(Opt2_5!Z4:AB4)</f>
        <v>0</v>
      </c>
    </row>
    <row r="6" spans="1:11" x14ac:dyDescent="0.2">
      <c r="A6" s="12"/>
      <c r="B6" s="12" t="s">
        <v>31</v>
      </c>
      <c r="C6" s="9"/>
      <c r="D6" s="47">
        <f>SUM(Opt2_5!E5:G5)</f>
        <v>6640.07</v>
      </c>
      <c r="E6" s="39">
        <f>SUM(Opt2_5!H5:J5)</f>
        <v>6854.8099999999995</v>
      </c>
      <c r="F6" s="39">
        <f>SUM(Opt2_5!K5:M5)</f>
        <v>6661.8899999999994</v>
      </c>
      <c r="G6" s="48">
        <f>SUM(Opt2_5!N5:P5)</f>
        <v>6210.25</v>
      </c>
      <c r="H6" s="39">
        <f>SUM(Opt2_5!Q5:S5)</f>
        <v>3819.8599999999988</v>
      </c>
      <c r="I6" s="39">
        <f>SUM(Opt2_5!T5:V5)</f>
        <v>0</v>
      </c>
      <c r="J6" s="39">
        <f>SUM(Opt2_5!W5:Y5)</f>
        <v>0</v>
      </c>
      <c r="K6" s="48">
        <f>SUM(Opt2_5!Z5:AB5)</f>
        <v>0</v>
      </c>
    </row>
    <row r="7" spans="1:11" x14ac:dyDescent="0.2">
      <c r="A7" s="12"/>
      <c r="B7" s="12" t="s">
        <v>103</v>
      </c>
      <c r="C7" s="9"/>
      <c r="D7" s="47"/>
      <c r="E7" s="39"/>
      <c r="F7" s="39"/>
      <c r="G7" s="48"/>
      <c r="H7" s="39">
        <f>SUM(Opt2_5!Q6:S6)</f>
        <v>7500</v>
      </c>
      <c r="I7" s="39">
        <f>SUM(Opt2_5!T6:V6)</f>
        <v>7500</v>
      </c>
      <c r="J7" s="39">
        <f>SUM(Opt2_5!W6:Y6)</f>
        <v>7500</v>
      </c>
      <c r="K7" s="48">
        <f>SUM(Opt2_5!Z6:AB6)</f>
        <v>7500</v>
      </c>
    </row>
    <row r="8" spans="1:11" x14ac:dyDescent="0.2">
      <c r="A8" s="12"/>
      <c r="B8" s="12" t="s">
        <v>38</v>
      </c>
      <c r="C8" s="9"/>
      <c r="D8" s="47">
        <f>SUM(Opt2_5!E7:G7)</f>
        <v>5219.59</v>
      </c>
      <c r="E8" s="39">
        <f>SUM(Opt2_5!H7:J7)</f>
        <v>4755.74</v>
      </c>
      <c r="F8" s="39">
        <f>SUM(Opt2_5!K7:M7)</f>
        <v>5720.2992000000013</v>
      </c>
      <c r="G8" s="48">
        <f>SUM(Opt2_5!N7:P7)</f>
        <v>7368.6315818181829</v>
      </c>
      <c r="H8" s="39">
        <f>SUM(Opt2_5!Q7:S7)</f>
        <v>5267.3314155844164</v>
      </c>
      <c r="I8" s="39">
        <f>SUM(Opt2_5!T7:V7)</f>
        <v>4759.4000454545467</v>
      </c>
      <c r="J8" s="39">
        <f>SUM(Opt2_5!W7:Y7)</f>
        <v>5805.6768000000011</v>
      </c>
      <c r="K8" s="48">
        <f>SUM(Opt2_5!Z7:AB7)</f>
        <v>7374.7299818181818</v>
      </c>
    </row>
    <row r="9" spans="1:11" x14ac:dyDescent="0.2">
      <c r="A9" s="12"/>
      <c r="B9" s="12" t="s">
        <v>90</v>
      </c>
      <c r="C9" s="9"/>
      <c r="D9" s="47">
        <f>SUM(Opt2_5!E8:G8)</f>
        <v>0</v>
      </c>
      <c r="E9" s="39">
        <f>SUM(Opt2_5!H8:J8)</f>
        <v>0</v>
      </c>
      <c r="F9" s="39">
        <f>SUM(Opt2_5!K8:M8)</f>
        <v>0</v>
      </c>
      <c r="G9" s="48">
        <f>SUM(Opt2_5!N8:P8)</f>
        <v>0</v>
      </c>
      <c r="H9" s="39">
        <f>SUM(Opt2_5!Q8:S8)</f>
        <v>37500</v>
      </c>
      <c r="I9" s="39">
        <f>SUM(Opt2_5!T8:V8)</f>
        <v>0</v>
      </c>
      <c r="J9" s="39">
        <f>SUM(Opt2_5!W8:Y8)</f>
        <v>0</v>
      </c>
      <c r="K9" s="48">
        <f>SUM(Opt2_5!Z8:AB8)</f>
        <v>0</v>
      </c>
    </row>
    <row r="10" spans="1:11" hidden="1" x14ac:dyDescent="0.2">
      <c r="A10" s="12"/>
      <c r="B10" s="12"/>
      <c r="C10" s="9" t="s">
        <v>51</v>
      </c>
      <c r="D10" s="47"/>
      <c r="E10" s="39"/>
      <c r="F10" s="39"/>
      <c r="G10" s="48"/>
      <c r="H10" s="39"/>
      <c r="I10" s="39"/>
      <c r="J10" s="39"/>
      <c r="K10" s="48"/>
    </row>
    <row r="11" spans="1:11" x14ac:dyDescent="0.2">
      <c r="A11" s="12"/>
      <c r="B11" s="12"/>
      <c r="C11" s="9"/>
      <c r="D11" s="47"/>
      <c r="E11" s="39"/>
      <c r="F11" s="39"/>
      <c r="G11" s="48"/>
      <c r="H11" s="39"/>
      <c r="I11" s="39"/>
      <c r="J11" s="39"/>
      <c r="K11" s="48"/>
    </row>
    <row r="12" spans="1:11" x14ac:dyDescent="0.2">
      <c r="A12" s="12" t="s">
        <v>32</v>
      </c>
      <c r="B12" s="12"/>
      <c r="C12" s="9"/>
      <c r="D12" s="47"/>
      <c r="E12" s="39"/>
      <c r="F12" s="39"/>
      <c r="G12" s="48"/>
      <c r="H12" s="39"/>
      <c r="I12" s="39"/>
      <c r="J12" s="39"/>
      <c r="K12" s="48"/>
    </row>
    <row r="13" spans="1:11" x14ac:dyDescent="0.2">
      <c r="A13" s="12"/>
      <c r="B13" s="12" t="s">
        <v>33</v>
      </c>
      <c r="C13" s="9"/>
      <c r="D13" s="47">
        <f>SUM(Opt2_5!E12:G12)</f>
        <v>38419.919999999998</v>
      </c>
      <c r="E13" s="39">
        <f>SUM(Opt2_5!H12:J12)</f>
        <v>39029.759999999995</v>
      </c>
      <c r="F13" s="39">
        <f>SUM(Opt2_5!K12:M12)</f>
        <v>39029.760000000002</v>
      </c>
      <c r="G13" s="48">
        <f>SUM(Opt2_5!N12:P12)</f>
        <v>38419.920000000006</v>
      </c>
      <c r="H13" s="39">
        <f>SUM(Opt2_5!Q12:S12)</f>
        <v>31223.808000000005</v>
      </c>
      <c r="I13" s="39">
        <f>SUM(Opt2_5!T12:V12)</f>
        <v>31223.808000000005</v>
      </c>
      <c r="J13" s="39">
        <f>SUM(Opt2_5!W12:Y12)</f>
        <v>31711.680000000004</v>
      </c>
      <c r="K13" s="48">
        <f>SUM(Opt2_5!Z12:AB12)</f>
        <v>30735.936000000005</v>
      </c>
    </row>
    <row r="14" spans="1:11" x14ac:dyDescent="0.2">
      <c r="A14" s="12"/>
      <c r="B14" s="12" t="s">
        <v>34</v>
      </c>
      <c r="C14" s="9"/>
      <c r="D14" s="47">
        <f>SUM(Opt2_5!E13:G13)</f>
        <v>0</v>
      </c>
      <c r="E14" s="39">
        <f>SUM(Opt2_5!H13:J13)</f>
        <v>0</v>
      </c>
      <c r="F14" s="39">
        <f>SUM(Opt2_5!K13:M13)</f>
        <v>0</v>
      </c>
      <c r="G14" s="48">
        <f>SUM(Opt2_5!N13:P13)</f>
        <v>0</v>
      </c>
      <c r="H14" s="39">
        <f>SUM(Opt2_5!Q13:S13)</f>
        <v>0</v>
      </c>
      <c r="I14" s="39">
        <f>SUM(Opt2_5!T13:V13)</f>
        <v>0</v>
      </c>
      <c r="J14" s="39">
        <f>SUM(Opt2_5!W13:Y13)</f>
        <v>0</v>
      </c>
      <c r="K14" s="48">
        <f>SUM(Opt2_5!Z13:AB13)</f>
        <v>0</v>
      </c>
    </row>
    <row r="15" spans="1:11" x14ac:dyDescent="0.2">
      <c r="A15" s="12"/>
      <c r="B15" s="12" t="s">
        <v>35</v>
      </c>
      <c r="C15" s="9"/>
      <c r="D15" s="47">
        <f>SUM(Opt2_5!E14:G14)</f>
        <v>0</v>
      </c>
      <c r="E15" s="39">
        <f>SUM(Opt2_5!H14:J14)</f>
        <v>0</v>
      </c>
      <c r="F15" s="39">
        <f>SUM(Opt2_5!K14:M14)</f>
        <v>0</v>
      </c>
      <c r="G15" s="48">
        <f>SUM(Opt2_5!N14:P14)</f>
        <v>0</v>
      </c>
      <c r="H15" s="39">
        <f>SUM(Opt2_5!Q14:S14)</f>
        <v>0</v>
      </c>
      <c r="I15" s="39">
        <f>SUM(Opt2_5!T14:V14)</f>
        <v>0</v>
      </c>
      <c r="J15" s="39">
        <f>SUM(Opt2_5!W14:Y14)</f>
        <v>0</v>
      </c>
      <c r="K15" s="48">
        <f>SUM(Opt2_5!Z14:AB14)</f>
        <v>0</v>
      </c>
    </row>
    <row r="16" spans="1:11" x14ac:dyDescent="0.2">
      <c r="A16" s="12"/>
      <c r="B16" s="12"/>
      <c r="C16" s="9"/>
      <c r="D16" s="47"/>
      <c r="E16" s="39"/>
      <c r="F16" s="39"/>
      <c r="G16" s="48"/>
      <c r="H16" s="39"/>
      <c r="I16" s="39"/>
      <c r="J16" s="39"/>
      <c r="K16" s="48"/>
    </row>
    <row r="17" spans="1:11" x14ac:dyDescent="0.2">
      <c r="A17" s="12" t="s">
        <v>36</v>
      </c>
      <c r="B17" s="12"/>
      <c r="C17" s="9"/>
      <c r="D17" s="47"/>
      <c r="E17" s="39"/>
      <c r="F17" s="39"/>
      <c r="G17" s="48"/>
      <c r="H17" s="39"/>
      <c r="I17" s="39"/>
      <c r="J17" s="39"/>
      <c r="K17" s="48"/>
    </row>
    <row r="18" spans="1:11" x14ac:dyDescent="0.2">
      <c r="A18" s="19"/>
      <c r="B18" s="19" t="s">
        <v>37</v>
      </c>
      <c r="C18" s="20"/>
      <c r="D18" s="70">
        <f>SUM(Opt2_5!E16:G16)</f>
        <v>0</v>
      </c>
      <c r="E18" s="71">
        <f>SUM(Opt2_5!H16:J16)</f>
        <v>0</v>
      </c>
      <c r="F18" s="71">
        <f>SUM(Opt2_5!K16:M16)</f>
        <v>0</v>
      </c>
      <c r="G18" s="72">
        <f>SUM(Opt2_5!N16:P16)</f>
        <v>0</v>
      </c>
      <c r="H18" s="71">
        <f>Opt2_5!S17</f>
        <v>38140.774197402585</v>
      </c>
      <c r="I18" s="71">
        <f>Opt2_5!V17</f>
        <v>19176.366242857126</v>
      </c>
      <c r="J18" s="71">
        <f>Opt2_5!Y17</f>
        <v>770.3630428571214</v>
      </c>
      <c r="K18" s="72">
        <f>Opt2_5!AB17</f>
        <v>-15090.842975324702</v>
      </c>
    </row>
    <row r="19" spans="1:11" x14ac:dyDescent="0.2">
      <c r="A19" s="10"/>
      <c r="B19" s="11"/>
      <c r="C19" s="11"/>
      <c r="D19" s="73"/>
      <c r="E19" s="74"/>
      <c r="F19" s="74"/>
      <c r="G19" s="75"/>
      <c r="H19" s="74"/>
      <c r="I19" s="74"/>
      <c r="J19" s="74"/>
      <c r="K19" s="75"/>
    </row>
    <row r="20" spans="1:11" x14ac:dyDescent="0.2">
      <c r="A20" s="12" t="s">
        <v>52</v>
      </c>
      <c r="B20" s="9"/>
      <c r="C20" s="9"/>
      <c r="D20" s="47">
        <f>SUM(Opt2_5!E18:G18)</f>
        <v>0</v>
      </c>
      <c r="E20" s="39">
        <v>66766</v>
      </c>
      <c r="F20" s="40">
        <f t="shared" ref="F20:K21" si="0">E20-F5</f>
        <v>40118.43</v>
      </c>
      <c r="G20" s="41">
        <f t="shared" si="0"/>
        <v>15277.400000000001</v>
      </c>
      <c r="H20" s="40">
        <f t="shared" si="0"/>
        <v>0</v>
      </c>
      <c r="I20" s="40">
        <f t="shared" si="0"/>
        <v>0</v>
      </c>
      <c r="J20" s="40">
        <f t="shared" si="0"/>
        <v>0</v>
      </c>
      <c r="K20" s="41">
        <f t="shared" si="0"/>
        <v>0</v>
      </c>
    </row>
    <row r="21" spans="1:11" x14ac:dyDescent="0.2">
      <c r="A21" s="19" t="s">
        <v>102</v>
      </c>
      <c r="B21" s="20"/>
      <c r="C21" s="20"/>
      <c r="D21" s="70">
        <f>SUM(Opt2_5!E19:G19)</f>
        <v>0</v>
      </c>
      <c r="E21" s="42">
        <f>83458-E20</f>
        <v>16692</v>
      </c>
      <c r="F21" s="42">
        <f t="shared" si="0"/>
        <v>10030.11</v>
      </c>
      <c r="G21" s="43">
        <f t="shared" si="0"/>
        <v>3819.8600000000006</v>
      </c>
      <c r="H21" s="42">
        <f t="shared" si="0"/>
        <v>0</v>
      </c>
      <c r="I21" s="42">
        <f t="shared" si="0"/>
        <v>0</v>
      </c>
      <c r="J21" s="42">
        <f t="shared" si="0"/>
        <v>0</v>
      </c>
      <c r="K21" s="43">
        <f t="shared" si="0"/>
        <v>0</v>
      </c>
    </row>
    <row r="22" spans="1:11" x14ac:dyDescent="0.2">
      <c r="C22" t="s">
        <v>58</v>
      </c>
      <c r="D22" s="31"/>
      <c r="E22" s="31">
        <f>SUM(E20:E21)</f>
        <v>83458</v>
      </c>
      <c r="F22" s="31">
        <f t="shared" ref="F22:K22" si="1">SUM(F20:F21)</f>
        <v>50148.54</v>
      </c>
      <c r="G22" s="31">
        <f t="shared" si="1"/>
        <v>19097.260000000002</v>
      </c>
      <c r="H22" s="31">
        <f t="shared" si="1"/>
        <v>0</v>
      </c>
      <c r="I22" s="31">
        <f t="shared" si="1"/>
        <v>0</v>
      </c>
      <c r="J22" s="31">
        <f t="shared" si="1"/>
        <v>0</v>
      </c>
      <c r="K22" s="31">
        <f t="shared" si="1"/>
        <v>0</v>
      </c>
    </row>
    <row r="25" spans="1:11" x14ac:dyDescent="0.2">
      <c r="A25" t="s">
        <v>74</v>
      </c>
      <c r="C25" s="30"/>
    </row>
    <row r="26" spans="1:11" x14ac:dyDescent="0.2">
      <c r="A26" s="67"/>
      <c r="B26" s="68">
        <v>0.2</v>
      </c>
      <c r="C26" s="30" t="s">
        <v>86</v>
      </c>
    </row>
    <row r="27" spans="1:11" x14ac:dyDescent="0.2">
      <c r="C27" s="31"/>
    </row>
    <row r="28" spans="1:11" x14ac:dyDescent="0.2">
      <c r="C28" s="61"/>
    </row>
  </sheetData>
  <mergeCells count="2">
    <mergeCell ref="D2:G2"/>
    <mergeCell ref="H2:K2"/>
  </mergeCells>
  <pageMargins left="0.7" right="0.7" top="0.75" bottom="0.75" header="0.3" footer="0.3"/>
  <pageSetup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>
    <pageSetUpPr fitToPage="1"/>
  </sheetPr>
  <dimension ref="A1:K25"/>
  <sheetViews>
    <sheetView workbookViewId="0">
      <selection activeCell="F7" sqref="F7"/>
    </sheetView>
  </sheetViews>
  <sheetFormatPr baseColWidth="10" defaultColWidth="8.83203125" defaultRowHeight="15" x14ac:dyDescent="0.2"/>
  <cols>
    <col min="4" max="4" width="11.83203125" bestFit="1" customWidth="1"/>
    <col min="5" max="5" width="14.5" customWidth="1"/>
    <col min="6" max="7" width="11.83203125" bestFit="1" customWidth="1"/>
    <col min="8" max="8" width="12.33203125" bestFit="1" customWidth="1"/>
    <col min="9" max="11" width="13.5" bestFit="1" customWidth="1"/>
  </cols>
  <sheetData>
    <row r="1" spans="1:11" ht="31" x14ac:dyDescent="0.45">
      <c r="A1" s="81" t="s">
        <v>84</v>
      </c>
    </row>
    <row r="2" spans="1:11" x14ac:dyDescent="0.2">
      <c r="A2" s="10"/>
      <c r="B2" s="10"/>
      <c r="C2" s="11"/>
      <c r="D2" s="183">
        <v>2015</v>
      </c>
      <c r="E2" s="182"/>
      <c r="F2" s="182"/>
      <c r="G2" s="184"/>
      <c r="H2" s="182">
        <v>2016</v>
      </c>
      <c r="I2" s="182"/>
      <c r="J2" s="182"/>
      <c r="K2" s="184"/>
    </row>
    <row r="3" spans="1:11" x14ac:dyDescent="0.2">
      <c r="A3" s="12"/>
      <c r="B3" s="12"/>
      <c r="C3" s="9"/>
      <c r="D3" s="35" t="s">
        <v>54</v>
      </c>
      <c r="E3" s="36" t="s">
        <v>55</v>
      </c>
      <c r="F3" s="36" t="s">
        <v>56</v>
      </c>
      <c r="G3" s="37" t="s">
        <v>57</v>
      </c>
      <c r="H3" s="36" t="s">
        <v>54</v>
      </c>
      <c r="I3" s="36" t="s">
        <v>55</v>
      </c>
      <c r="J3" s="36" t="s">
        <v>56</v>
      </c>
      <c r="K3" s="37" t="s">
        <v>57</v>
      </c>
    </row>
    <row r="4" spans="1:11" x14ac:dyDescent="0.2">
      <c r="A4" s="12" t="s">
        <v>29</v>
      </c>
      <c r="B4" s="12"/>
      <c r="C4" s="9" t="s">
        <v>50</v>
      </c>
      <c r="D4" s="12">
        <f>SUM(Opt3EID!E3:G3)</f>
        <v>63</v>
      </c>
      <c r="E4" s="9">
        <f>SUM(Opt3EID!H3:J3)</f>
        <v>64</v>
      </c>
      <c r="F4" s="9">
        <f>SUM(Opt3EID!K3:M3)</f>
        <v>64</v>
      </c>
      <c r="G4" s="15">
        <f>SUM(Opt3EID!N3:P3)</f>
        <v>63</v>
      </c>
      <c r="H4" s="9">
        <f>SUM(Opt3EID!Q3:S3)</f>
        <v>64</v>
      </c>
      <c r="I4" s="9">
        <f>SUM(Opt3EID!T3:V3)</f>
        <v>64</v>
      </c>
      <c r="J4" s="9">
        <f>SUM(Opt3EID!W3:Y3)</f>
        <v>65</v>
      </c>
      <c r="K4" s="15">
        <f>SUM(Opt3EID!Z3:AB3)</f>
        <v>63</v>
      </c>
    </row>
    <row r="5" spans="1:11" x14ac:dyDescent="0.2">
      <c r="A5" s="12"/>
      <c r="B5" s="12" t="s">
        <v>30</v>
      </c>
      <c r="C5" s="9"/>
      <c r="D5" s="47">
        <f>SUM(Opt3EID!E4:G4)</f>
        <v>26560.260000000002</v>
      </c>
      <c r="E5" s="39">
        <f>SUM(Opt3EID!H4:J4)</f>
        <v>27419.21</v>
      </c>
      <c r="F5" s="39">
        <f>SUM(Opt3EID!K4:M4)</f>
        <v>26647.57</v>
      </c>
      <c r="G5" s="48">
        <f>SUM(Opt3EID!N4:P4)</f>
        <v>24841.03</v>
      </c>
      <c r="H5" s="39">
        <f>SUM(Opt3EID!Q4:S4)</f>
        <v>15277.400000000001</v>
      </c>
      <c r="I5" s="39">
        <f>SUM(Opt3EID!T4:V4)</f>
        <v>0</v>
      </c>
      <c r="J5" s="39">
        <f>SUM(Opt3EID!W4:Y4)</f>
        <v>0</v>
      </c>
      <c r="K5" s="48">
        <f>SUM(Opt3EID!Z4:AB4)</f>
        <v>0</v>
      </c>
    </row>
    <row r="6" spans="1:11" x14ac:dyDescent="0.2">
      <c r="A6" s="12"/>
      <c r="B6" s="12" t="s">
        <v>31</v>
      </c>
      <c r="C6" s="9"/>
      <c r="D6" s="47">
        <f>SUM(Opt3EID!E5:G5)</f>
        <v>6640.07</v>
      </c>
      <c r="E6" s="39">
        <f>SUM(Opt3EID!H5:J5)</f>
        <v>6854.8099999999995</v>
      </c>
      <c r="F6" s="39">
        <f>SUM(Opt3EID!K5:M5)</f>
        <v>6661.8899999999994</v>
      </c>
      <c r="G6" s="48">
        <f>SUM(Opt3EID!N5:P5)</f>
        <v>6210.25</v>
      </c>
      <c r="H6" s="39">
        <f>SUM(Opt3EID!Q5:S5)</f>
        <v>3819.8599999999988</v>
      </c>
      <c r="I6" s="39">
        <f>SUM(Opt3EID!T5:V5)</f>
        <v>0</v>
      </c>
      <c r="J6" s="39">
        <f>SUM(Opt3EID!W5:Y5)</f>
        <v>0</v>
      </c>
      <c r="K6" s="48">
        <f>SUM(Opt3EID!Z5:AB5)</f>
        <v>0</v>
      </c>
    </row>
    <row r="7" spans="1:11" x14ac:dyDescent="0.2">
      <c r="A7" s="12"/>
      <c r="B7" s="12" t="s">
        <v>38</v>
      </c>
      <c r="C7" s="9"/>
      <c r="D7" s="47">
        <f>SUM(Opt3EID!E6:G6)</f>
        <v>5219.59</v>
      </c>
      <c r="E7" s="39">
        <f>SUM(Opt3EID!H6:J6)</f>
        <v>4755.74</v>
      </c>
      <c r="F7" s="39">
        <f>SUM(Opt3EID!K6:M6)</f>
        <v>5720.2992000000013</v>
      </c>
      <c r="G7" s="48">
        <f>SUM(Opt3EID!N6:P6)</f>
        <v>7368.6315818181829</v>
      </c>
      <c r="H7" s="39">
        <f>SUM(Opt3EID!Q6:S6)</f>
        <v>5267.3314155844164</v>
      </c>
      <c r="I7" s="39">
        <f>SUM(Opt3EID!T6:V6)</f>
        <v>4759.4000454545467</v>
      </c>
      <c r="J7" s="39">
        <f>SUM(Opt3EID!W6:Y6)</f>
        <v>5805.6768000000011</v>
      </c>
      <c r="K7" s="48">
        <f>SUM(Opt3EID!Z6:AB6)</f>
        <v>7374.7299818181818</v>
      </c>
    </row>
    <row r="8" spans="1:11" hidden="1" x14ac:dyDescent="0.2">
      <c r="A8" s="12"/>
      <c r="B8" s="12"/>
      <c r="C8" s="9" t="s">
        <v>51</v>
      </c>
      <c r="D8" s="47"/>
      <c r="E8" s="39"/>
      <c r="F8" s="39"/>
      <c r="G8" s="48"/>
      <c r="H8" s="39">
        <f>SUM(Opt3EID!Q7:S7)</f>
        <v>0.40788916743757359</v>
      </c>
      <c r="I8" s="39">
        <f>SUM(Opt3EID!T7:V7)</f>
        <v>0.36485956077898229</v>
      </c>
      <c r="J8" s="39">
        <f>SUM(Opt3EID!W7:Y7)</f>
        <v>0.44000000000000006</v>
      </c>
      <c r="K8" s="48">
        <f>SUM(Opt3EID!Z7:AB7)</f>
        <v>0.575852056575197</v>
      </c>
    </row>
    <row r="9" spans="1:11" x14ac:dyDescent="0.2">
      <c r="A9" s="12"/>
      <c r="B9" s="12" t="s">
        <v>80</v>
      </c>
      <c r="C9" s="9"/>
      <c r="D9" s="47"/>
      <c r="E9" s="39"/>
      <c r="F9" s="39"/>
      <c r="G9" s="48"/>
      <c r="H9" s="39">
        <f>SUM(Opt3EID!Q8:S8)</f>
        <v>0</v>
      </c>
      <c r="I9" s="39">
        <f>SUM(Opt3EID!T8:V8)</f>
        <v>75000</v>
      </c>
      <c r="J9" s="39">
        <f>SUM(Opt3EID!W8:Y8)</f>
        <v>0</v>
      </c>
      <c r="K9" s="48">
        <f>SUM(Opt3EID!Z8:AB8)</f>
        <v>75000</v>
      </c>
    </row>
    <row r="10" spans="1:11" x14ac:dyDescent="0.2">
      <c r="A10" s="12"/>
      <c r="B10" s="12"/>
      <c r="C10" s="9"/>
      <c r="D10" s="47"/>
      <c r="E10" s="39"/>
      <c r="F10" s="39"/>
      <c r="G10" s="48"/>
      <c r="H10" s="39"/>
      <c r="I10" s="39"/>
      <c r="J10" s="39"/>
      <c r="K10" s="48"/>
    </row>
    <row r="11" spans="1:11" x14ac:dyDescent="0.2">
      <c r="A11" s="12" t="s">
        <v>32</v>
      </c>
      <c r="B11" s="12"/>
      <c r="C11" s="9"/>
      <c r="D11" s="47"/>
      <c r="E11" s="39"/>
      <c r="F11" s="39"/>
      <c r="G11" s="48"/>
      <c r="H11" s="39"/>
      <c r="I11" s="39"/>
      <c r="J11" s="39"/>
      <c r="K11" s="48"/>
    </row>
    <row r="12" spans="1:11" x14ac:dyDescent="0.2">
      <c r="A12" s="12"/>
      <c r="B12" s="12" t="s">
        <v>33</v>
      </c>
      <c r="C12" s="9"/>
      <c r="D12" s="47">
        <f>SUM(Opt3EID!E11:G11)</f>
        <v>38419.919999999998</v>
      </c>
      <c r="E12" s="39">
        <f>SUM(Opt3EID!H11:J11)</f>
        <v>39029.759999999995</v>
      </c>
      <c r="F12" s="39">
        <f>SUM(Opt3EID!K11:M11)</f>
        <v>39029.760000000002</v>
      </c>
      <c r="G12" s="48">
        <f>SUM(Opt3EID!N11:P11)</f>
        <v>38419.920000000006</v>
      </c>
      <c r="H12" s="39">
        <f>SUM(Opt3EID!Q11:S11)</f>
        <v>39029.760000000002</v>
      </c>
      <c r="I12" s="39">
        <f>SUM(Opt3EID!T11:V11)</f>
        <v>39029.760000000002</v>
      </c>
      <c r="J12" s="39">
        <f>SUM(Opt3EID!W11:Y11)</f>
        <v>39639.600000000006</v>
      </c>
      <c r="K12" s="48">
        <f>SUM(Opt3EID!Z11:AB11)</f>
        <v>38419.920000000006</v>
      </c>
    </row>
    <row r="13" spans="1:11" x14ac:dyDescent="0.2">
      <c r="A13" s="12"/>
      <c r="B13" s="12" t="s">
        <v>34</v>
      </c>
      <c r="C13" s="9"/>
      <c r="D13" s="47">
        <f>SUM(Opt3EID!E12:G12)</f>
        <v>0</v>
      </c>
      <c r="E13" s="39">
        <f>SUM(Opt3EID!H12:J12)</f>
        <v>0</v>
      </c>
      <c r="F13" s="39">
        <f>SUM(Opt3EID!K12:M12)</f>
        <v>0</v>
      </c>
      <c r="G13" s="48">
        <f>SUM(Opt3EID!N12:P12)</f>
        <v>0</v>
      </c>
      <c r="H13" s="39">
        <f>SUM(Opt3EID!Q12:S12)</f>
        <v>0</v>
      </c>
      <c r="I13" s="39">
        <f>SUM(Opt3EID!T12:V12)</f>
        <v>0</v>
      </c>
      <c r="J13" s="39">
        <f>SUM(Opt3EID!W12:Y12)</f>
        <v>0</v>
      </c>
      <c r="K13" s="48">
        <f>SUM(Opt3EID!Z12:AB12)</f>
        <v>0</v>
      </c>
    </row>
    <row r="14" spans="1:11" x14ac:dyDescent="0.2">
      <c r="A14" s="12"/>
      <c r="B14" s="12" t="s">
        <v>35</v>
      </c>
      <c r="C14" s="9"/>
      <c r="D14" s="47">
        <f>SUM(Opt3EID!E13:G13)</f>
        <v>0</v>
      </c>
      <c r="E14" s="39">
        <f>SUM(Opt3EID!H13:J13)</f>
        <v>0</v>
      </c>
      <c r="F14" s="39">
        <f>SUM(Opt3EID!K13:M13)</f>
        <v>0</v>
      </c>
      <c r="G14" s="48">
        <f>SUM(Opt3EID!N13:P13)</f>
        <v>0</v>
      </c>
      <c r="H14" s="39">
        <f>SUM(Opt3EID!Q13:S13)</f>
        <v>0</v>
      </c>
      <c r="I14" s="39">
        <f>SUM(Opt3EID!T13:V13)</f>
        <v>0</v>
      </c>
      <c r="J14" s="39">
        <f>SUM(Opt3EID!W13:Y13)</f>
        <v>0</v>
      </c>
      <c r="K14" s="48">
        <f>SUM(Opt3EID!Z13:AB13)</f>
        <v>0</v>
      </c>
    </row>
    <row r="15" spans="1:11" x14ac:dyDescent="0.2">
      <c r="A15" s="12"/>
      <c r="B15" s="12"/>
      <c r="C15" s="9"/>
      <c r="D15" s="47"/>
      <c r="E15" s="39"/>
      <c r="F15" s="39"/>
      <c r="G15" s="48"/>
      <c r="H15" s="39"/>
      <c r="I15" s="39"/>
      <c r="J15" s="39"/>
      <c r="K15" s="48"/>
    </row>
    <row r="16" spans="1:11" x14ac:dyDescent="0.2">
      <c r="A16" s="12" t="s">
        <v>36</v>
      </c>
      <c r="B16" s="12"/>
      <c r="C16" s="9"/>
      <c r="D16" s="47"/>
      <c r="E16" s="39"/>
      <c r="F16" s="39"/>
      <c r="G16" s="48"/>
      <c r="H16" s="39"/>
      <c r="I16" s="39"/>
      <c r="J16" s="39"/>
      <c r="K16" s="48"/>
    </row>
    <row r="17" spans="1:11" x14ac:dyDescent="0.2">
      <c r="A17" s="19"/>
      <c r="B17" s="19" t="s">
        <v>37</v>
      </c>
      <c r="C17" s="20"/>
      <c r="D17" s="70">
        <f>SUM(Opt3EID!E15:G15)</f>
        <v>0</v>
      </c>
      <c r="E17" s="71">
        <f>SUM(Opt3EID!H15:J15)</f>
        <v>0</v>
      </c>
      <c r="F17" s="71">
        <f>SUM(Opt3EID!K15:M15)</f>
        <v>0</v>
      </c>
      <c r="G17" s="72">
        <f>SUM(Opt3EID!N15:P15)</f>
        <v>0</v>
      </c>
      <c r="H17" s="71">
        <f>Opt3EID!S16</f>
        <v>-14663.754061373398</v>
      </c>
      <c r="I17" s="71">
        <f>Opt3EID!V16</f>
        <v>26066.250843641923</v>
      </c>
      <c r="J17" s="71">
        <f>Opt3EID!Y16</f>
        <v>-7767.2323563580794</v>
      </c>
      <c r="K17" s="72">
        <f>Opt3EID!AB16</f>
        <v>36188.153477516673</v>
      </c>
    </row>
    <row r="18" spans="1:11" x14ac:dyDescent="0.2">
      <c r="A18" s="10"/>
      <c r="B18" s="11"/>
      <c r="C18" s="11"/>
      <c r="D18" s="73"/>
      <c r="E18" s="74"/>
      <c r="F18" s="74"/>
      <c r="G18" s="75"/>
      <c r="H18" s="74"/>
      <c r="I18" s="74"/>
      <c r="J18" s="74"/>
      <c r="K18" s="75"/>
    </row>
    <row r="19" spans="1:11" x14ac:dyDescent="0.2">
      <c r="A19" s="12" t="s">
        <v>52</v>
      </c>
      <c r="B19" s="9"/>
      <c r="C19" s="9"/>
      <c r="D19" s="47">
        <f>SUM(Opt3EID!E17:G17)</f>
        <v>0</v>
      </c>
      <c r="E19" s="39">
        <v>66766</v>
      </c>
      <c r="F19" s="40">
        <f t="shared" ref="F19:K20" si="0">E19-F5</f>
        <v>40118.43</v>
      </c>
      <c r="G19" s="41">
        <f t="shared" si="0"/>
        <v>15277.400000000001</v>
      </c>
      <c r="H19" s="40">
        <f t="shared" si="0"/>
        <v>0</v>
      </c>
      <c r="I19" s="40">
        <f t="shared" si="0"/>
        <v>0</v>
      </c>
      <c r="J19" s="40">
        <f t="shared" si="0"/>
        <v>0</v>
      </c>
      <c r="K19" s="41">
        <f t="shared" si="0"/>
        <v>0</v>
      </c>
    </row>
    <row r="20" spans="1:11" x14ac:dyDescent="0.2">
      <c r="A20" s="19" t="s">
        <v>102</v>
      </c>
      <c r="B20" s="20"/>
      <c r="C20" s="20"/>
      <c r="D20" s="70">
        <f>SUM(Opt3EID!E18:G18)</f>
        <v>0</v>
      </c>
      <c r="E20" s="42">
        <f>83458-E19</f>
        <v>16692</v>
      </c>
      <c r="F20" s="42">
        <f t="shared" si="0"/>
        <v>10030.11</v>
      </c>
      <c r="G20" s="43">
        <f t="shared" si="0"/>
        <v>3819.8600000000006</v>
      </c>
      <c r="H20" s="42">
        <f t="shared" si="0"/>
        <v>0</v>
      </c>
      <c r="I20" s="42">
        <f t="shared" si="0"/>
        <v>0</v>
      </c>
      <c r="J20" s="42">
        <f t="shared" si="0"/>
        <v>0</v>
      </c>
      <c r="K20" s="43">
        <f t="shared" si="0"/>
        <v>0</v>
      </c>
    </row>
    <row r="21" spans="1:11" x14ac:dyDescent="0.2">
      <c r="C21" t="s">
        <v>58</v>
      </c>
      <c r="D21" s="31"/>
      <c r="E21" s="31">
        <f>SUM(E19:E20)</f>
        <v>83458</v>
      </c>
      <c r="F21" s="31">
        <f t="shared" ref="F21:K21" si="1">SUM(F19:F20)</f>
        <v>50148.54</v>
      </c>
      <c r="G21" s="31">
        <f t="shared" si="1"/>
        <v>19097.260000000002</v>
      </c>
      <c r="H21" s="31">
        <f t="shared" si="1"/>
        <v>0</v>
      </c>
      <c r="I21" s="31">
        <f t="shared" si="1"/>
        <v>0</v>
      </c>
      <c r="J21" s="31">
        <f t="shared" si="1"/>
        <v>0</v>
      </c>
      <c r="K21" s="31">
        <f t="shared" si="1"/>
        <v>0</v>
      </c>
    </row>
    <row r="24" spans="1:11" x14ac:dyDescent="0.2">
      <c r="A24" t="s">
        <v>78</v>
      </c>
      <c r="E24" s="84" t="s">
        <v>104</v>
      </c>
      <c r="F24" s="84" t="s">
        <v>105</v>
      </c>
      <c r="G24" s="84" t="s">
        <v>106</v>
      </c>
    </row>
    <row r="25" spans="1:11" x14ac:dyDescent="0.2">
      <c r="B25" t="s">
        <v>79</v>
      </c>
      <c r="E25" s="30">
        <v>125000000</v>
      </c>
      <c r="F25" s="30">
        <v>150000</v>
      </c>
      <c r="G25" s="79">
        <f>(F25/E25)*100</f>
        <v>0.12</v>
      </c>
      <c r="H25" t="s">
        <v>81</v>
      </c>
    </row>
  </sheetData>
  <mergeCells count="2">
    <mergeCell ref="D2:G2"/>
    <mergeCell ref="H2:K2"/>
  </mergeCells>
  <pageMargins left="0.7" right="0.7" top="0.75" bottom="0.75" header="0.3" footer="0.3"/>
  <pageSetup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/>
  <dimension ref="A1:AB32"/>
  <sheetViews>
    <sheetView workbookViewId="0">
      <selection activeCell="Q19" sqref="Q19"/>
    </sheetView>
  </sheetViews>
  <sheetFormatPr baseColWidth="10" defaultColWidth="8.83203125" defaultRowHeight="15" x14ac:dyDescent="0.2"/>
  <cols>
    <col min="1" max="1" width="6.6640625" customWidth="1"/>
    <col min="4" max="28" width="11.5" bestFit="1" customWidth="1"/>
  </cols>
  <sheetData>
    <row r="1" spans="1:28" x14ac:dyDescent="0.2">
      <c r="A1" s="10"/>
      <c r="B1" s="11"/>
      <c r="C1" s="11"/>
      <c r="D1" s="21">
        <v>2014</v>
      </c>
      <c r="E1" s="182">
        <v>2015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>
        <v>2016</v>
      </c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4"/>
    </row>
    <row r="2" spans="1:28" s="62" customFormat="1" x14ac:dyDescent="0.2">
      <c r="A2" s="64"/>
      <c r="B2" s="65"/>
      <c r="C2" s="65"/>
      <c r="D2" s="66" t="s">
        <v>49</v>
      </c>
      <c r="E2" s="32" t="s">
        <v>39</v>
      </c>
      <c r="F2" s="32" t="s">
        <v>40</v>
      </c>
      <c r="G2" s="32" t="s">
        <v>41</v>
      </c>
      <c r="H2" s="32" t="s">
        <v>42</v>
      </c>
      <c r="I2" s="32" t="s">
        <v>20</v>
      </c>
      <c r="J2" s="32" t="s">
        <v>43</v>
      </c>
      <c r="K2" s="32" t="s">
        <v>44</v>
      </c>
      <c r="L2" s="32" t="s">
        <v>45</v>
      </c>
      <c r="M2" s="32" t="s">
        <v>46</v>
      </c>
      <c r="N2" s="32" t="s">
        <v>47</v>
      </c>
      <c r="O2" s="32" t="s">
        <v>48</v>
      </c>
      <c r="P2" s="32" t="s">
        <v>49</v>
      </c>
      <c r="Q2" s="34" t="s">
        <v>39</v>
      </c>
      <c r="R2" s="32" t="s">
        <v>40</v>
      </c>
      <c r="S2" s="32" t="s">
        <v>41</v>
      </c>
      <c r="T2" s="32" t="s">
        <v>42</v>
      </c>
      <c r="U2" s="32" t="s">
        <v>20</v>
      </c>
      <c r="V2" s="32" t="s">
        <v>43</v>
      </c>
      <c r="W2" s="32" t="s">
        <v>44</v>
      </c>
      <c r="X2" s="32" t="s">
        <v>45</v>
      </c>
      <c r="Y2" s="32" t="s">
        <v>46</v>
      </c>
      <c r="Z2" s="32" t="s">
        <v>47</v>
      </c>
      <c r="AA2" s="32" t="s">
        <v>48</v>
      </c>
      <c r="AB2" s="33" t="s">
        <v>49</v>
      </c>
    </row>
    <row r="3" spans="1:28" x14ac:dyDescent="0.2">
      <c r="A3" s="12" t="s">
        <v>29</v>
      </c>
      <c r="B3" s="9"/>
      <c r="C3" s="9" t="s">
        <v>50</v>
      </c>
      <c r="D3" s="23">
        <v>22</v>
      </c>
      <c r="E3" s="9">
        <v>21</v>
      </c>
      <c r="F3" s="9">
        <v>20</v>
      </c>
      <c r="G3" s="9">
        <v>22</v>
      </c>
      <c r="H3" s="9">
        <v>22</v>
      </c>
      <c r="I3" s="9">
        <v>20</v>
      </c>
      <c r="J3" s="9">
        <v>22</v>
      </c>
      <c r="K3" s="9">
        <v>22</v>
      </c>
      <c r="L3" s="9">
        <v>21</v>
      </c>
      <c r="M3" s="9">
        <v>21</v>
      </c>
      <c r="N3" s="9">
        <v>22</v>
      </c>
      <c r="O3" s="9">
        <v>20</v>
      </c>
      <c r="P3" s="9">
        <v>21</v>
      </c>
      <c r="Q3" s="12">
        <v>20</v>
      </c>
      <c r="R3" s="9">
        <v>21</v>
      </c>
      <c r="S3" s="9">
        <v>23</v>
      </c>
      <c r="T3" s="9">
        <v>21</v>
      </c>
      <c r="U3" s="9">
        <v>21</v>
      </c>
      <c r="V3" s="9">
        <v>22</v>
      </c>
      <c r="W3" s="9">
        <v>21</v>
      </c>
      <c r="X3" s="9">
        <v>23</v>
      </c>
      <c r="Y3" s="9">
        <v>21</v>
      </c>
      <c r="Z3" s="9">
        <v>21</v>
      </c>
      <c r="AA3" s="9">
        <v>21</v>
      </c>
      <c r="AB3" s="15">
        <v>21</v>
      </c>
    </row>
    <row r="4" spans="1:28" x14ac:dyDescent="0.2">
      <c r="A4" s="12"/>
      <c r="B4" s="9" t="s">
        <v>30</v>
      </c>
      <c r="C4" s="9"/>
      <c r="D4" s="45">
        <v>8523.74</v>
      </c>
      <c r="E4" s="46">
        <v>8556.86</v>
      </c>
      <c r="F4" s="46">
        <f t="shared" ref="F4:Q4" si="0">ROUND(0.8*(F13-F7),2)</f>
        <v>8538.69</v>
      </c>
      <c r="G4" s="46">
        <f t="shared" si="0"/>
        <v>9464.7099999999991</v>
      </c>
      <c r="H4" s="46">
        <f t="shared" si="0"/>
        <v>9570.9599999999991</v>
      </c>
      <c r="I4" s="46">
        <f t="shared" si="0"/>
        <v>8642.31</v>
      </c>
      <c r="J4" s="46">
        <f t="shared" si="0"/>
        <v>9205.94</v>
      </c>
      <c r="K4" s="39">
        <f t="shared" si="0"/>
        <v>9230.5400000000009</v>
      </c>
      <c r="L4" s="39">
        <f t="shared" si="0"/>
        <v>8810.9699999999993</v>
      </c>
      <c r="M4" s="39">
        <f t="shared" si="0"/>
        <v>8606.06</v>
      </c>
      <c r="N4" s="39">
        <f t="shared" si="0"/>
        <v>8801.2099999999991</v>
      </c>
      <c r="O4" s="39">
        <f t="shared" si="0"/>
        <v>7903.53</v>
      </c>
      <c r="P4" s="39">
        <f t="shared" si="0"/>
        <v>8136.29</v>
      </c>
      <c r="Q4" s="47">
        <f t="shared" si="0"/>
        <v>8149.39</v>
      </c>
      <c r="R4" s="39">
        <f>Q20</f>
        <v>7128.0100000000011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48">
        <v>0</v>
      </c>
    </row>
    <row r="5" spans="1:28" x14ac:dyDescent="0.2">
      <c r="A5" s="12"/>
      <c r="B5" s="9" t="s">
        <v>31</v>
      </c>
      <c r="C5" s="9"/>
      <c r="D5" s="45">
        <v>2130.9299999999998</v>
      </c>
      <c r="E5" s="46">
        <v>2139.2199999999998</v>
      </c>
      <c r="F5" s="46">
        <f t="shared" ref="F5:P5" si="1">ROUND(0.2*(F13-F7),2)</f>
        <v>2134.67</v>
      </c>
      <c r="G5" s="46">
        <f t="shared" si="1"/>
        <v>2366.1799999999998</v>
      </c>
      <c r="H5" s="46">
        <f t="shared" si="1"/>
        <v>2392.7399999999998</v>
      </c>
      <c r="I5" s="46">
        <f t="shared" si="1"/>
        <v>2160.58</v>
      </c>
      <c r="J5" s="46">
        <f t="shared" si="1"/>
        <v>2301.4899999999998</v>
      </c>
      <c r="K5" s="39">
        <f t="shared" si="1"/>
        <v>2307.63</v>
      </c>
      <c r="L5" s="39">
        <f t="shared" si="1"/>
        <v>2202.7399999999998</v>
      </c>
      <c r="M5" s="39">
        <f t="shared" si="1"/>
        <v>2151.52</v>
      </c>
      <c r="N5" s="39">
        <f t="shared" si="1"/>
        <v>2200.3000000000002</v>
      </c>
      <c r="O5" s="39">
        <f t="shared" si="1"/>
        <v>1975.88</v>
      </c>
      <c r="P5" s="39">
        <f t="shared" si="1"/>
        <v>2034.07</v>
      </c>
      <c r="Q5" s="47">
        <v>0</v>
      </c>
      <c r="R5" s="39">
        <f>Q21</f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48">
        <v>0</v>
      </c>
    </row>
    <row r="6" spans="1:28" x14ac:dyDescent="0.2">
      <c r="A6" s="12"/>
      <c r="B6" s="9" t="s">
        <v>101</v>
      </c>
      <c r="C6" s="9"/>
      <c r="D6" s="45"/>
      <c r="E6" s="46"/>
      <c r="F6" s="46"/>
      <c r="G6" s="46"/>
      <c r="H6" s="46"/>
      <c r="I6" s="46"/>
      <c r="J6" s="46"/>
      <c r="K6" s="39"/>
      <c r="L6" s="39"/>
      <c r="M6" s="39"/>
      <c r="N6" s="39"/>
      <c r="O6" s="39"/>
      <c r="P6" s="39"/>
      <c r="Q6" s="47">
        <f>50000/12</f>
        <v>4166.666666666667</v>
      </c>
      <c r="R6" s="39">
        <f>50000/12</f>
        <v>4166.666666666667</v>
      </c>
      <c r="S6" s="39">
        <f t="shared" ref="S6:AB6" si="2">50000/12</f>
        <v>4166.666666666667</v>
      </c>
      <c r="T6" s="39">
        <f t="shared" si="2"/>
        <v>4166.666666666667</v>
      </c>
      <c r="U6" s="39">
        <f t="shared" si="2"/>
        <v>4166.666666666667</v>
      </c>
      <c r="V6" s="39">
        <f t="shared" si="2"/>
        <v>4166.666666666667</v>
      </c>
      <c r="W6" s="39">
        <f t="shared" si="2"/>
        <v>4166.666666666667</v>
      </c>
      <c r="X6" s="39">
        <f t="shared" si="2"/>
        <v>4166.666666666667</v>
      </c>
      <c r="Y6" s="39">
        <f t="shared" si="2"/>
        <v>4166.666666666667</v>
      </c>
      <c r="Z6" s="39">
        <f t="shared" si="2"/>
        <v>4166.666666666667</v>
      </c>
      <c r="AA6" s="39">
        <f t="shared" si="2"/>
        <v>4166.666666666667</v>
      </c>
      <c r="AB6" s="48">
        <f t="shared" si="2"/>
        <v>4166.666666666667</v>
      </c>
    </row>
    <row r="7" spans="1:28" x14ac:dyDescent="0.2">
      <c r="A7" s="12"/>
      <c r="B7" s="9" t="s">
        <v>38</v>
      </c>
      <c r="C7" s="9"/>
      <c r="D7" s="45">
        <v>2761.81</v>
      </c>
      <c r="E7" s="46">
        <v>2110.56</v>
      </c>
      <c r="F7" s="46">
        <v>1523.44</v>
      </c>
      <c r="G7" s="46">
        <v>1585.59</v>
      </c>
      <c r="H7" s="46">
        <v>1452.78</v>
      </c>
      <c r="I7" s="46">
        <v>1393.91</v>
      </c>
      <c r="J7" s="46">
        <v>1909.05</v>
      </c>
      <c r="K7" s="39">
        <f t="shared" ref="K7:AB7" si="3">K8*K13</f>
        <v>1878.3072000000004</v>
      </c>
      <c r="L7" s="39">
        <f t="shared" si="3"/>
        <v>1792.9296000000004</v>
      </c>
      <c r="M7" s="39">
        <f t="shared" si="3"/>
        <v>2049.0624000000003</v>
      </c>
      <c r="N7" s="39">
        <f t="shared" si="3"/>
        <v>2414.9664000000002</v>
      </c>
      <c r="O7" s="39">
        <f t="shared" si="3"/>
        <v>2317.3920000000003</v>
      </c>
      <c r="P7" s="39">
        <f t="shared" si="3"/>
        <v>2636.2731818181819</v>
      </c>
      <c r="Q7" s="47">
        <f t="shared" si="3"/>
        <v>2010.0571428571432</v>
      </c>
      <c r="R7" s="39">
        <f t="shared" si="3"/>
        <v>1599.6120000000003</v>
      </c>
      <c r="S7" s="39">
        <f t="shared" si="3"/>
        <v>1657.6622727272729</v>
      </c>
      <c r="T7" s="39">
        <f t="shared" si="3"/>
        <v>1386.7445454545457</v>
      </c>
      <c r="U7" s="39">
        <f t="shared" si="3"/>
        <v>1463.6055000000003</v>
      </c>
      <c r="V7" s="39">
        <f t="shared" si="3"/>
        <v>1909.0500000000004</v>
      </c>
      <c r="W7" s="39">
        <f t="shared" si="3"/>
        <v>1792.9296000000004</v>
      </c>
      <c r="X7" s="39">
        <f t="shared" si="3"/>
        <v>1963.6848000000005</v>
      </c>
      <c r="Y7" s="39">
        <f t="shared" si="3"/>
        <v>2049.0624000000003</v>
      </c>
      <c r="Z7" s="39">
        <f t="shared" si="3"/>
        <v>2305.1952000000001</v>
      </c>
      <c r="AA7" s="39">
        <f t="shared" si="3"/>
        <v>2433.2616000000003</v>
      </c>
      <c r="AB7" s="48">
        <f t="shared" si="3"/>
        <v>2636.2731818181819</v>
      </c>
    </row>
    <row r="8" spans="1:28" hidden="1" x14ac:dyDescent="0.2">
      <c r="A8" s="12"/>
      <c r="B8" s="9"/>
      <c r="C8" s="9" t="s">
        <v>51</v>
      </c>
      <c r="D8" s="49">
        <v>0.20585205657519706</v>
      </c>
      <c r="E8" s="50">
        <v>0.16480200895785313</v>
      </c>
      <c r="F8" s="50">
        <v>0.12490489308671128</v>
      </c>
      <c r="G8" s="50">
        <v>0.11818226539300919</v>
      </c>
      <c r="H8" s="50">
        <v>0.1082832456799399</v>
      </c>
      <c r="I8" s="50">
        <v>0.11428489439853078</v>
      </c>
      <c r="J8" s="50">
        <v>0.14229142070051162</v>
      </c>
      <c r="K8" s="40">
        <v>0.14000000000000001</v>
      </c>
      <c r="L8" s="40">
        <v>0.14000000000000001</v>
      </c>
      <c r="M8" s="40">
        <v>0.16</v>
      </c>
      <c r="N8" s="40">
        <v>0.18</v>
      </c>
      <c r="O8" s="40">
        <v>0.19</v>
      </c>
      <c r="P8" s="51">
        <v>0.20585205657519706</v>
      </c>
      <c r="Q8" s="52">
        <v>0.16480200895785313</v>
      </c>
      <c r="R8" s="51">
        <v>0.12490489308671128</v>
      </c>
      <c r="S8" s="51">
        <v>0.11818226539300919</v>
      </c>
      <c r="T8" s="51">
        <v>0.1082832456799399</v>
      </c>
      <c r="U8" s="51">
        <v>0.11428489439853078</v>
      </c>
      <c r="V8" s="51">
        <v>0.14229142070051162</v>
      </c>
      <c r="W8" s="40">
        <v>0.14000000000000001</v>
      </c>
      <c r="X8" s="40">
        <v>0.14000000000000001</v>
      </c>
      <c r="Y8" s="40">
        <v>0.16</v>
      </c>
      <c r="Z8" s="40">
        <v>0.18</v>
      </c>
      <c r="AA8" s="40">
        <v>0.19</v>
      </c>
      <c r="AB8" s="53">
        <v>0.20585205657519706</v>
      </c>
    </row>
    <row r="9" spans="1:28" x14ac:dyDescent="0.2">
      <c r="A9" s="12"/>
      <c r="B9" s="44" t="s">
        <v>59</v>
      </c>
      <c r="C9" s="9"/>
      <c r="D9" s="49"/>
      <c r="E9" s="50"/>
      <c r="F9" s="50"/>
      <c r="G9" s="50"/>
      <c r="H9" s="50"/>
      <c r="I9" s="50"/>
      <c r="J9" s="50"/>
      <c r="K9" s="40"/>
      <c r="L9" s="40"/>
      <c r="M9" s="40"/>
      <c r="N9" s="40"/>
      <c r="O9" s="40"/>
      <c r="P9" s="51"/>
      <c r="Q9" s="52">
        <v>12500</v>
      </c>
      <c r="R9" s="51"/>
      <c r="S9" s="51"/>
      <c r="T9" s="51"/>
      <c r="U9" s="51"/>
      <c r="V9" s="51"/>
      <c r="W9" s="40"/>
      <c r="X9" s="40"/>
      <c r="Y9" s="40"/>
      <c r="Z9" s="40"/>
      <c r="AA9" s="40"/>
      <c r="AB9" s="53"/>
    </row>
    <row r="10" spans="1:28" x14ac:dyDescent="0.2">
      <c r="A10" s="12"/>
      <c r="B10" s="44" t="s">
        <v>60</v>
      </c>
      <c r="C10" s="9"/>
      <c r="D10" s="49"/>
      <c r="E10" s="50"/>
      <c r="F10" s="50"/>
      <c r="G10" s="50"/>
      <c r="H10" s="50"/>
      <c r="I10" s="50"/>
      <c r="J10" s="50"/>
      <c r="K10" s="40"/>
      <c r="L10" s="40"/>
      <c r="M10" s="40"/>
      <c r="N10" s="40"/>
      <c r="O10" s="40"/>
      <c r="P10" s="51"/>
      <c r="Q10" s="52">
        <v>25000</v>
      </c>
      <c r="R10" s="51"/>
      <c r="S10" s="51"/>
      <c r="T10" s="51"/>
      <c r="U10" s="51"/>
      <c r="V10" s="51"/>
      <c r="W10" s="40"/>
      <c r="X10" s="40"/>
      <c r="Y10" s="40"/>
      <c r="Z10" s="40"/>
      <c r="AA10" s="40"/>
      <c r="AB10" s="53"/>
    </row>
    <row r="11" spans="1:28" x14ac:dyDescent="0.2">
      <c r="A11" s="12"/>
      <c r="B11" s="9"/>
      <c r="C11" s="9"/>
      <c r="D11" s="54"/>
      <c r="E11" s="55"/>
      <c r="F11" s="55"/>
      <c r="G11" s="55"/>
      <c r="H11" s="55"/>
      <c r="I11" s="55"/>
      <c r="J11" s="55"/>
      <c r="K11" s="40"/>
      <c r="L11" s="40"/>
      <c r="M11" s="40"/>
      <c r="N11" s="40"/>
      <c r="O11" s="40"/>
      <c r="P11" s="40"/>
      <c r="Q11" s="56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</row>
    <row r="12" spans="1:28" x14ac:dyDescent="0.2">
      <c r="A12" s="12" t="s">
        <v>32</v>
      </c>
      <c r="B12" s="9"/>
      <c r="C12" s="9"/>
      <c r="D12" s="54"/>
      <c r="E12" s="55"/>
      <c r="F12" s="55"/>
      <c r="G12" s="55"/>
      <c r="H12" s="55"/>
      <c r="I12" s="55"/>
      <c r="J12" s="55"/>
      <c r="K12" s="40"/>
      <c r="L12" s="40"/>
      <c r="M12" s="40"/>
      <c r="N12" s="40"/>
      <c r="O12" s="40"/>
      <c r="P12" s="40"/>
      <c r="Q12" s="56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x14ac:dyDescent="0.2">
      <c r="A13" s="12"/>
      <c r="B13" s="9" t="s">
        <v>33</v>
      </c>
      <c r="C13" s="9"/>
      <c r="D13" s="45">
        <f>SUM(D4:D7)</f>
        <v>13416.48</v>
      </c>
      <c r="E13" s="46">
        <f>SUM(E4:E7)</f>
        <v>12806.64</v>
      </c>
      <c r="F13" s="46">
        <f>3049.2*4</f>
        <v>12196.8</v>
      </c>
      <c r="G13" s="46">
        <f>3049.2*4+1219.68</f>
        <v>13416.48</v>
      </c>
      <c r="H13" s="46">
        <f>3049.2*3+1829.52+2439.36</f>
        <v>13416.48</v>
      </c>
      <c r="I13" s="46">
        <f>3049.2*3+609.84+2439.36</f>
        <v>12196.8</v>
      </c>
      <c r="J13" s="46">
        <f>3049.2*4+1219.68</f>
        <v>13416.48</v>
      </c>
      <c r="K13" s="39">
        <f t="shared" ref="K13:AB13" si="4">609.84*K3</f>
        <v>13416.480000000001</v>
      </c>
      <c r="L13" s="39">
        <f t="shared" si="4"/>
        <v>12806.640000000001</v>
      </c>
      <c r="M13" s="39">
        <f t="shared" si="4"/>
        <v>12806.640000000001</v>
      </c>
      <c r="N13" s="39">
        <f t="shared" si="4"/>
        <v>13416.480000000001</v>
      </c>
      <c r="O13" s="39">
        <f t="shared" si="4"/>
        <v>12196.800000000001</v>
      </c>
      <c r="P13" s="39">
        <f t="shared" si="4"/>
        <v>12806.640000000001</v>
      </c>
      <c r="Q13" s="47">
        <f t="shared" si="4"/>
        <v>12196.800000000001</v>
      </c>
      <c r="R13" s="39">
        <f t="shared" si="4"/>
        <v>12806.640000000001</v>
      </c>
      <c r="S13" s="39">
        <f t="shared" si="4"/>
        <v>14026.320000000002</v>
      </c>
      <c r="T13" s="39">
        <f t="shared" si="4"/>
        <v>12806.640000000001</v>
      </c>
      <c r="U13" s="39">
        <f t="shared" si="4"/>
        <v>12806.640000000001</v>
      </c>
      <c r="V13" s="39">
        <f t="shared" si="4"/>
        <v>13416.480000000001</v>
      </c>
      <c r="W13" s="39">
        <f t="shared" si="4"/>
        <v>12806.640000000001</v>
      </c>
      <c r="X13" s="39">
        <f t="shared" si="4"/>
        <v>14026.320000000002</v>
      </c>
      <c r="Y13" s="39">
        <f t="shared" si="4"/>
        <v>12806.640000000001</v>
      </c>
      <c r="Z13" s="39">
        <f t="shared" si="4"/>
        <v>12806.640000000001</v>
      </c>
      <c r="AA13" s="39">
        <f t="shared" si="4"/>
        <v>12806.640000000001</v>
      </c>
      <c r="AB13" s="48">
        <f t="shared" si="4"/>
        <v>12806.640000000001</v>
      </c>
    </row>
    <row r="14" spans="1:28" x14ac:dyDescent="0.2">
      <c r="A14" s="12"/>
      <c r="B14" s="9" t="s">
        <v>34</v>
      </c>
      <c r="C14" s="9"/>
      <c r="D14" s="54"/>
      <c r="E14" s="55"/>
      <c r="F14" s="55"/>
      <c r="G14" s="55"/>
      <c r="H14" s="55"/>
      <c r="I14" s="55"/>
      <c r="J14" s="55"/>
      <c r="K14" s="40"/>
      <c r="L14" s="40"/>
      <c r="M14" s="40"/>
      <c r="N14" s="40"/>
      <c r="O14" s="40"/>
      <c r="P14" s="40"/>
      <c r="Q14" s="56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x14ac:dyDescent="0.2">
      <c r="A15" s="12"/>
      <c r="B15" s="9" t="s">
        <v>35</v>
      </c>
      <c r="C15" s="9"/>
      <c r="D15" s="54"/>
      <c r="E15" s="55"/>
      <c r="F15" s="55"/>
      <c r="G15" s="55"/>
      <c r="H15" s="55"/>
      <c r="I15" s="55"/>
      <c r="J15" s="55"/>
      <c r="K15" s="40"/>
      <c r="L15" s="40"/>
      <c r="M15" s="40"/>
      <c r="N15" s="40"/>
      <c r="O15" s="40"/>
      <c r="P15" s="40"/>
      <c r="Q15" s="56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/>
    </row>
    <row r="16" spans="1:28" x14ac:dyDescent="0.2">
      <c r="A16" s="12"/>
      <c r="B16" s="9"/>
      <c r="C16" s="9"/>
      <c r="D16" s="54"/>
      <c r="E16" s="55"/>
      <c r="F16" s="55"/>
      <c r="G16" s="55"/>
      <c r="H16" s="55"/>
      <c r="I16" s="55"/>
      <c r="J16" s="55"/>
      <c r="K16" s="40"/>
      <c r="L16" s="40"/>
      <c r="M16" s="40"/>
      <c r="N16" s="40"/>
      <c r="O16" s="40"/>
      <c r="P16" s="40"/>
      <c r="Q16" s="5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x14ac:dyDescent="0.2">
      <c r="A17" s="12" t="s">
        <v>36</v>
      </c>
      <c r="B17" s="9"/>
      <c r="C17" s="9"/>
      <c r="D17" s="54"/>
      <c r="E17" s="55"/>
      <c r="F17" s="55"/>
      <c r="G17" s="55"/>
      <c r="H17" s="55"/>
      <c r="I17" s="55"/>
      <c r="J17" s="55"/>
      <c r="K17" s="40"/>
      <c r="L17" s="40"/>
      <c r="M17" s="40"/>
      <c r="N17" s="40"/>
      <c r="O17" s="40"/>
      <c r="P17" s="40"/>
      <c r="Q17" s="56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1"/>
    </row>
    <row r="18" spans="1:28" x14ac:dyDescent="0.2">
      <c r="A18" s="19"/>
      <c r="B18" s="20" t="s">
        <v>37</v>
      </c>
      <c r="C18" s="20"/>
      <c r="D18" s="57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42">
        <f t="shared" ref="K18:R18" si="5">SUM(K4:K9)-SUM(K13:K15)+J18</f>
        <v>0.13720000000103028</v>
      </c>
      <c r="L18" s="42">
        <f t="shared" si="5"/>
        <v>0.27679999999782012</v>
      </c>
      <c r="M18" s="42">
        <f t="shared" si="5"/>
        <v>0.43919999999707215</v>
      </c>
      <c r="N18" s="42">
        <f t="shared" si="5"/>
        <v>0.61559999999553838</v>
      </c>
      <c r="O18" s="42">
        <f t="shared" si="5"/>
        <v>0.80759999999463616</v>
      </c>
      <c r="P18" s="42">
        <f t="shared" si="5"/>
        <v>1.0066338747510599</v>
      </c>
      <c r="Q18" s="59">
        <f>SUM(Q4:Q10)-SUM(Q13:Q15)+P18</f>
        <v>39630.485245407515</v>
      </c>
      <c r="R18" s="42">
        <f t="shared" si="5"/>
        <v>39718.258816967267</v>
      </c>
      <c r="S18" s="42">
        <f t="shared" ref="S18:AB18" si="6">SUM(S4:S7)-SUM(S13:S15)+R18</f>
        <v>31516.267756361205</v>
      </c>
      <c r="T18" s="42">
        <f t="shared" si="6"/>
        <v>24263.038968482419</v>
      </c>
      <c r="U18" s="42">
        <f t="shared" si="6"/>
        <v>17086.671135149085</v>
      </c>
      <c r="V18" s="42">
        <f t="shared" si="6"/>
        <v>9745.9078018157506</v>
      </c>
      <c r="W18" s="42">
        <f t="shared" si="6"/>
        <v>2898.8640684824168</v>
      </c>
      <c r="X18" s="42">
        <f t="shared" si="6"/>
        <v>-4997.1044648509178</v>
      </c>
      <c r="Y18" s="42">
        <f t="shared" si="6"/>
        <v>-11588.015398184252</v>
      </c>
      <c r="Z18" s="42">
        <f t="shared" si="6"/>
        <v>-17922.793531517586</v>
      </c>
      <c r="AA18" s="42">
        <f t="shared" si="6"/>
        <v>-24129.505264850919</v>
      </c>
      <c r="AB18" s="43">
        <f t="shared" si="6"/>
        <v>-30133.205416366072</v>
      </c>
    </row>
    <row r="20" spans="1:28" x14ac:dyDescent="0.2">
      <c r="A20" t="s">
        <v>52</v>
      </c>
      <c r="J20" s="30">
        <v>66766</v>
      </c>
      <c r="K20" s="31">
        <f t="shared" ref="K20:AB20" si="7">J20-K4</f>
        <v>57535.46</v>
      </c>
      <c r="L20" s="31">
        <f t="shared" si="7"/>
        <v>48724.49</v>
      </c>
      <c r="M20" s="31">
        <f t="shared" si="7"/>
        <v>40118.43</v>
      </c>
      <c r="N20" s="31">
        <f t="shared" si="7"/>
        <v>31317.22</v>
      </c>
      <c r="O20" s="31">
        <f t="shared" si="7"/>
        <v>23413.690000000002</v>
      </c>
      <c r="P20" s="31">
        <f t="shared" si="7"/>
        <v>15277.400000000001</v>
      </c>
      <c r="Q20" s="31">
        <f t="shared" si="7"/>
        <v>7128.0100000000011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</row>
    <row r="21" spans="1:28" x14ac:dyDescent="0.2">
      <c r="A21" t="s">
        <v>102</v>
      </c>
      <c r="J21" s="31">
        <f>83458-J20</f>
        <v>16692</v>
      </c>
      <c r="K21" s="31">
        <f t="shared" ref="K21:P21" si="8">J21-K5</f>
        <v>14384.369999999999</v>
      </c>
      <c r="L21" s="31">
        <f t="shared" si="8"/>
        <v>12181.63</v>
      </c>
      <c r="M21" s="31">
        <f t="shared" si="8"/>
        <v>10030.109999999999</v>
      </c>
      <c r="N21" s="31">
        <f t="shared" si="8"/>
        <v>7829.8099999999986</v>
      </c>
      <c r="O21" s="31">
        <f t="shared" si="8"/>
        <v>5853.9299999999985</v>
      </c>
      <c r="P21" s="31">
        <f t="shared" si="8"/>
        <v>3819.8599999999988</v>
      </c>
      <c r="Q21" s="31">
        <v>0</v>
      </c>
      <c r="R21" s="31">
        <f t="shared" ref="R21:AB21" si="9">Q21-R5</f>
        <v>0</v>
      </c>
      <c r="S21" s="31">
        <f t="shared" si="9"/>
        <v>0</v>
      </c>
      <c r="T21" s="31">
        <f t="shared" si="9"/>
        <v>0</v>
      </c>
      <c r="U21" s="31">
        <f t="shared" si="9"/>
        <v>0</v>
      </c>
      <c r="V21" s="31">
        <f t="shared" si="9"/>
        <v>0</v>
      </c>
      <c r="W21" s="31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9"/>
        <v>0</v>
      </c>
      <c r="AB21" s="31">
        <f t="shared" si="9"/>
        <v>0</v>
      </c>
    </row>
    <row r="24" spans="1:28" x14ac:dyDescent="0.2">
      <c r="A24" t="s">
        <v>61</v>
      </c>
    </row>
    <row r="25" spans="1:28" x14ac:dyDescent="0.2">
      <c r="B25" t="s">
        <v>65</v>
      </c>
    </row>
    <row r="26" spans="1:28" x14ac:dyDescent="0.2">
      <c r="B26" t="s">
        <v>62</v>
      </c>
    </row>
    <row r="27" spans="1:28" x14ac:dyDescent="0.2">
      <c r="B27" t="s">
        <v>63</v>
      </c>
    </row>
    <row r="28" spans="1:28" x14ac:dyDescent="0.2">
      <c r="B28" t="s">
        <v>64</v>
      </c>
    </row>
    <row r="30" spans="1:28" x14ac:dyDescent="0.2">
      <c r="A30" t="s">
        <v>70</v>
      </c>
    </row>
    <row r="31" spans="1:28" x14ac:dyDescent="0.2">
      <c r="B31" t="s">
        <v>71</v>
      </c>
      <c r="E31" s="30">
        <v>11000</v>
      </c>
      <c r="F31" t="s">
        <v>72</v>
      </c>
    </row>
    <row r="32" spans="1:28" x14ac:dyDescent="0.2">
      <c r="F32" t="s">
        <v>73</v>
      </c>
    </row>
  </sheetData>
  <mergeCells count="2">
    <mergeCell ref="E1:P1"/>
    <mergeCell ref="Q1:AB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9">
    <pageSetUpPr fitToPage="1"/>
  </sheetPr>
  <dimension ref="A1:Z23"/>
  <sheetViews>
    <sheetView workbookViewId="0">
      <selection activeCell="E5" sqref="E5"/>
    </sheetView>
  </sheetViews>
  <sheetFormatPr baseColWidth="10" defaultColWidth="8.83203125" defaultRowHeight="15" x14ac:dyDescent="0.2"/>
  <cols>
    <col min="4" max="7" width="11.83203125" bestFit="1" customWidth="1"/>
    <col min="8" max="8" width="12.33203125" bestFit="1" customWidth="1"/>
    <col min="9" max="11" width="13.5" bestFit="1" customWidth="1"/>
  </cols>
  <sheetData>
    <row r="1" spans="1:26" ht="31" x14ac:dyDescent="0.45">
      <c r="A1" s="81" t="s">
        <v>127</v>
      </c>
    </row>
    <row r="2" spans="1:26" x14ac:dyDescent="0.2">
      <c r="A2" s="10"/>
      <c r="B2" s="10"/>
      <c r="C2" s="38"/>
      <c r="D2" s="182">
        <v>2015</v>
      </c>
      <c r="E2" s="182"/>
      <c r="F2" s="182"/>
      <c r="G2" s="182"/>
      <c r="H2" s="183">
        <v>2016</v>
      </c>
      <c r="I2" s="182"/>
      <c r="J2" s="182"/>
      <c r="K2" s="184"/>
    </row>
    <row r="3" spans="1:26" x14ac:dyDescent="0.2">
      <c r="A3" s="12"/>
      <c r="B3" s="12"/>
      <c r="C3" s="15"/>
      <c r="D3" s="36" t="s">
        <v>54</v>
      </c>
      <c r="E3" s="36" t="s">
        <v>55</v>
      </c>
      <c r="F3" s="36" t="s">
        <v>56</v>
      </c>
      <c r="G3" s="36" t="s">
        <v>57</v>
      </c>
      <c r="H3" s="35" t="s">
        <v>54</v>
      </c>
      <c r="I3" s="36" t="s">
        <v>55</v>
      </c>
      <c r="J3" s="36" t="s">
        <v>56</v>
      </c>
      <c r="K3" s="37" t="s">
        <v>57</v>
      </c>
    </row>
    <row r="4" spans="1:26" x14ac:dyDescent="0.2">
      <c r="A4" s="12" t="s">
        <v>29</v>
      </c>
      <c r="B4" s="12"/>
      <c r="C4" s="15" t="s">
        <v>50</v>
      </c>
      <c r="D4" s="9">
        <f>SUM('Opt1subsidies IndyVersion'!E3:G3)</f>
        <v>63</v>
      </c>
      <c r="E4" s="9">
        <f>SUM('Opt1subsidies IndyVersion'!H3:J3)</f>
        <v>64</v>
      </c>
      <c r="F4" s="9">
        <f>SUM('Opt1subsidies IndyVersion'!K3:M3)</f>
        <v>64</v>
      </c>
      <c r="G4" s="9">
        <f>SUM('Opt1subsidies IndyVersion'!N3:P3)</f>
        <v>63</v>
      </c>
      <c r="H4" s="12">
        <f>SUM('Opt1subsidies IndyVersion'!Q3:S3)</f>
        <v>64</v>
      </c>
      <c r="I4" s="9">
        <f>SUM('Opt1subsidies IndyVersion'!T3:V3)</f>
        <v>64</v>
      </c>
      <c r="J4" s="9">
        <f>SUM('Opt1subsidies IndyVersion'!W3:Y3)</f>
        <v>65</v>
      </c>
      <c r="K4" s="15">
        <f>SUM('Opt1subsidies IndyVersion'!Z3:AB3)</f>
        <v>63</v>
      </c>
    </row>
    <row r="5" spans="1:26" x14ac:dyDescent="0.2">
      <c r="A5" s="12"/>
      <c r="B5" s="12" t="s">
        <v>30</v>
      </c>
      <c r="C5" s="15"/>
      <c r="D5" s="39">
        <f>SUM('Opt1subsidies IndyVersion'!E4:G4)</f>
        <v>26560.260000000002</v>
      </c>
      <c r="E5" s="39">
        <f>SUM('Opt1subsidies IndyVersion'!H4:J4)</f>
        <v>27419.21</v>
      </c>
      <c r="F5" s="39">
        <f>SUM('Opt1subsidies IndyVersion'!K4:M4)</f>
        <v>26647.57</v>
      </c>
      <c r="G5" s="39">
        <f>SUM('Opt1subsidies IndyVersion'!N4:P4)</f>
        <v>24841.03</v>
      </c>
      <c r="H5" s="47">
        <f>SUM('Opt1subsidies IndyVersion'!Q4:S4)</f>
        <v>15277.400000000001</v>
      </c>
      <c r="I5" s="39">
        <f>SUM('Opt1subsidies IndyVersion'!T4:V4)</f>
        <v>0</v>
      </c>
      <c r="J5" s="39">
        <f>SUM('Opt1subsidies IndyVersion'!W4:Y4)</f>
        <v>0</v>
      </c>
      <c r="K5" s="48">
        <f>SUM('Opt1subsidies IndyVersion'!Z4:AB4)</f>
        <v>0</v>
      </c>
    </row>
    <row r="6" spans="1:26" x14ac:dyDescent="0.2">
      <c r="A6" s="12"/>
      <c r="B6" s="12" t="s">
        <v>31</v>
      </c>
      <c r="C6" s="15"/>
      <c r="D6" s="39">
        <f>SUM('Opt1subsidies IndyVersion'!E5:G5)</f>
        <v>6640.07</v>
      </c>
      <c r="E6" s="39">
        <f>SUM('Opt1subsidies IndyVersion'!H5:J5)</f>
        <v>6854.8099999999995</v>
      </c>
      <c r="F6" s="39">
        <f>SUM('Opt1subsidies IndyVersion'!K5:M5)</f>
        <v>6661.8899999999994</v>
      </c>
      <c r="G6" s="39">
        <f>SUM('Opt1subsidies IndyVersion'!N5:P5)</f>
        <v>6210.25</v>
      </c>
      <c r="H6" s="47">
        <f>SUM('Opt1subsidies IndyVersion'!Q5:S5)</f>
        <v>0</v>
      </c>
      <c r="I6" s="39">
        <f>SUM('Opt1subsidies IndyVersion'!T5:V5)</f>
        <v>0</v>
      </c>
      <c r="J6" s="39">
        <f>SUM('Opt1subsidies IndyVersion'!W5:Y5)</f>
        <v>0</v>
      </c>
      <c r="K6" s="48">
        <f>SUM('Opt1subsidies IndyVersion'!Z5:AB5)</f>
        <v>0</v>
      </c>
    </row>
    <row r="7" spans="1:26" x14ac:dyDescent="0.2">
      <c r="A7" s="12"/>
      <c r="B7" s="12" t="s">
        <v>103</v>
      </c>
      <c r="C7" s="15"/>
      <c r="D7" s="39"/>
      <c r="E7" s="39"/>
      <c r="F7" s="39"/>
      <c r="G7" s="39"/>
      <c r="H7" s="47">
        <f>SUM('Opt1subsidies IndyVersion'!Q6:S6)</f>
        <v>12500</v>
      </c>
      <c r="I7" s="39">
        <f>SUM('Opt1subsidies IndyVersion'!T6:V6)</f>
        <v>12500</v>
      </c>
      <c r="J7" s="39">
        <f>SUM('Opt1subsidies IndyVersion'!W6:Y6)</f>
        <v>12500</v>
      </c>
      <c r="K7" s="48">
        <f>SUM('Opt1subsidies IndyVersion'!Z6:AB6)</f>
        <v>12500</v>
      </c>
    </row>
    <row r="8" spans="1:26" x14ac:dyDescent="0.2">
      <c r="A8" s="12"/>
      <c r="B8" s="12" t="s">
        <v>38</v>
      </c>
      <c r="C8" s="15"/>
      <c r="D8" s="39">
        <f>SUM('Opt1subsidies IndyVersion'!E7:G7)</f>
        <v>5219.59</v>
      </c>
      <c r="E8" s="39">
        <f>SUM('Opt1subsidies IndyVersion'!H7:J7)</f>
        <v>4755.74</v>
      </c>
      <c r="F8" s="39">
        <f>SUM('Opt1subsidies IndyVersion'!K7:M7)</f>
        <v>5720.2992000000013</v>
      </c>
      <c r="G8" s="39">
        <f>SUM('Opt1subsidies IndyVersion'!N7:P7)</f>
        <v>7368.6315818181829</v>
      </c>
      <c r="H8" s="47">
        <f>SUM('Opt1subsidies IndyVersion'!Q7:S7)</f>
        <v>5267.3314155844164</v>
      </c>
      <c r="I8" s="39">
        <f>SUM('Opt1subsidies IndyVersion'!T7:V7)</f>
        <v>4759.4000454545467</v>
      </c>
      <c r="J8" s="39">
        <f>SUM('Opt1subsidies IndyVersion'!W7:Y7)</f>
        <v>5805.6768000000011</v>
      </c>
      <c r="K8" s="48">
        <f>SUM('Opt1subsidies IndyVersion'!Z7:AB7)</f>
        <v>7374.7299818181818</v>
      </c>
    </row>
    <row r="9" spans="1:26" hidden="1" x14ac:dyDescent="0.2">
      <c r="A9" s="12"/>
      <c r="B9" s="12"/>
      <c r="C9" s="15" t="s">
        <v>51</v>
      </c>
      <c r="D9" s="39"/>
      <c r="E9" s="39"/>
      <c r="F9" s="39"/>
      <c r="G9" s="39"/>
      <c r="H9" s="47"/>
      <c r="I9" s="39"/>
      <c r="J9" s="39"/>
      <c r="K9" s="48"/>
    </row>
    <row r="10" spans="1:26" x14ac:dyDescent="0.2">
      <c r="A10" s="12"/>
      <c r="B10" s="76" t="s">
        <v>59</v>
      </c>
      <c r="C10" s="15"/>
      <c r="D10" s="50"/>
      <c r="E10" s="50"/>
      <c r="F10" s="50"/>
      <c r="G10" s="50"/>
      <c r="H10" s="78">
        <f>Opt1subsidies!Q9</f>
        <v>12500</v>
      </c>
      <c r="I10" s="50"/>
      <c r="J10" s="40"/>
      <c r="K10" s="41"/>
      <c r="L10" s="40"/>
      <c r="M10" s="40"/>
      <c r="N10" s="40"/>
      <c r="O10" s="51"/>
      <c r="P10" s="51"/>
      <c r="Q10" s="51"/>
      <c r="R10" s="51"/>
      <c r="S10" s="51"/>
      <c r="T10" s="51"/>
      <c r="U10" s="40"/>
      <c r="V10" s="40"/>
      <c r="W10" s="40"/>
      <c r="X10" s="40"/>
      <c r="Y10" s="40"/>
      <c r="Z10" s="53"/>
    </row>
    <row r="11" spans="1:26" x14ac:dyDescent="0.2">
      <c r="A11" s="12"/>
      <c r="B11" s="76" t="s">
        <v>126</v>
      </c>
      <c r="C11" s="15"/>
      <c r="D11" s="50"/>
      <c r="E11" s="50"/>
      <c r="F11" s="50"/>
      <c r="G11" s="50"/>
      <c r="H11" s="78">
        <f>Opt1subsidies!Q10</f>
        <v>25000</v>
      </c>
      <c r="I11" s="50"/>
      <c r="J11" s="40"/>
      <c r="K11" s="41"/>
      <c r="L11" s="40"/>
      <c r="M11" s="40"/>
      <c r="N11" s="40"/>
      <c r="O11" s="51"/>
      <c r="P11" s="51"/>
      <c r="Q11" s="51"/>
      <c r="R11" s="51"/>
      <c r="S11" s="51"/>
      <c r="T11" s="51"/>
      <c r="U11" s="40"/>
      <c r="V11" s="40"/>
      <c r="W11" s="40"/>
      <c r="X11" s="40"/>
      <c r="Y11" s="40"/>
      <c r="Z11" s="51"/>
    </row>
    <row r="12" spans="1:26" x14ac:dyDescent="0.2">
      <c r="A12" s="12"/>
      <c r="B12" s="12"/>
      <c r="C12" s="15"/>
      <c r="D12" s="39"/>
      <c r="E12" s="39"/>
      <c r="F12" s="39"/>
      <c r="G12" s="39"/>
      <c r="H12" s="47"/>
      <c r="I12" s="39"/>
      <c r="J12" s="39"/>
      <c r="K12" s="48"/>
    </row>
    <row r="13" spans="1:26" x14ac:dyDescent="0.2">
      <c r="A13" s="12" t="s">
        <v>32</v>
      </c>
      <c r="B13" s="12"/>
      <c r="C13" s="15"/>
      <c r="D13" s="39"/>
      <c r="E13" s="39"/>
      <c r="F13" s="39"/>
      <c r="G13" s="39"/>
      <c r="H13" s="47"/>
      <c r="I13" s="39"/>
      <c r="J13" s="39"/>
      <c r="K13" s="48"/>
    </row>
    <row r="14" spans="1:26" x14ac:dyDescent="0.2">
      <c r="A14" s="12"/>
      <c r="B14" s="12" t="s">
        <v>33</v>
      </c>
      <c r="C14" s="15"/>
      <c r="D14" s="39">
        <f>SUM('Opt1subsidies IndyVersion'!E13:G13)</f>
        <v>38419.919999999998</v>
      </c>
      <c r="E14" s="39">
        <f>SUM('Opt1subsidies IndyVersion'!H13:J13)</f>
        <v>39029.759999999995</v>
      </c>
      <c r="F14" s="39">
        <f>SUM('Opt1subsidies IndyVersion'!K13:M13)</f>
        <v>39029.760000000002</v>
      </c>
      <c r="G14" s="39">
        <f>SUM('Opt1subsidies IndyVersion'!N13:P13)</f>
        <v>38419.920000000006</v>
      </c>
      <c r="H14" s="47">
        <f>SUM('Opt1subsidies IndyVersion'!Q13:S13)</f>
        <v>39029.760000000002</v>
      </c>
      <c r="I14" s="39">
        <f>SUM('Opt1subsidies IndyVersion'!T13:V13)</f>
        <v>39029.760000000002</v>
      </c>
      <c r="J14" s="39">
        <f>SUM('Opt1subsidies IndyVersion'!W13:Y13)</f>
        <v>39639.600000000006</v>
      </c>
      <c r="K14" s="48">
        <f>SUM('Opt1subsidies IndyVersion'!Z13:AB13)</f>
        <v>38419.920000000006</v>
      </c>
    </row>
    <row r="15" spans="1:26" x14ac:dyDescent="0.2">
      <c r="A15" s="12"/>
      <c r="B15" s="12" t="s">
        <v>34</v>
      </c>
      <c r="C15" s="15"/>
      <c r="D15" s="39">
        <f>SUM('Opt1subsidies IndyVersion'!E14:G14)</f>
        <v>0</v>
      </c>
      <c r="E15" s="39">
        <f>SUM('Opt1subsidies IndyVersion'!H14:J14)</f>
        <v>0</v>
      </c>
      <c r="F15" s="39">
        <f>SUM('Opt1subsidies IndyVersion'!K14:M14)</f>
        <v>0</v>
      </c>
      <c r="G15" s="39">
        <f>SUM('Opt1subsidies IndyVersion'!N14:P14)</f>
        <v>0</v>
      </c>
      <c r="H15" s="47">
        <f>SUM('Opt1subsidies IndyVersion'!Q14:S14)</f>
        <v>0</v>
      </c>
      <c r="I15" s="39">
        <f>SUM('Opt1subsidies IndyVersion'!T14:V14)</f>
        <v>0</v>
      </c>
      <c r="J15" s="39">
        <f>SUM('Opt1subsidies IndyVersion'!W14:Y14)</f>
        <v>0</v>
      </c>
      <c r="K15" s="48">
        <f>SUM('Opt1subsidies IndyVersion'!Z14:AB14)</f>
        <v>0</v>
      </c>
    </row>
    <row r="16" spans="1:26" x14ac:dyDescent="0.2">
      <c r="A16" s="12"/>
      <c r="B16" s="12" t="s">
        <v>35</v>
      </c>
      <c r="C16" s="15"/>
      <c r="D16" s="39">
        <f>SUM('Opt1subsidies IndyVersion'!E15:G15)</f>
        <v>0</v>
      </c>
      <c r="E16" s="39">
        <f>SUM('Opt1subsidies IndyVersion'!H15:J15)</f>
        <v>0</v>
      </c>
      <c r="F16" s="39">
        <f>SUM('Opt1subsidies IndyVersion'!K15:M15)</f>
        <v>0</v>
      </c>
      <c r="G16" s="39">
        <f>SUM('Opt1subsidies IndyVersion'!N15:P15)</f>
        <v>0</v>
      </c>
      <c r="H16" s="47">
        <f>SUM('Opt1subsidies IndyVersion'!Q15:S15)</f>
        <v>0</v>
      </c>
      <c r="I16" s="39">
        <f>SUM('Opt1subsidies IndyVersion'!T15:V15)</f>
        <v>0</v>
      </c>
      <c r="J16" s="39">
        <f>SUM('Opt1subsidies IndyVersion'!W15:Y15)</f>
        <v>0</v>
      </c>
      <c r="K16" s="48">
        <f>SUM('Opt1subsidies IndyVersion'!Z15:AB15)</f>
        <v>0</v>
      </c>
    </row>
    <row r="17" spans="1:11" x14ac:dyDescent="0.2">
      <c r="A17" s="12"/>
      <c r="B17" s="12"/>
      <c r="C17" s="15"/>
      <c r="D17" s="39"/>
      <c r="E17" s="39"/>
      <c r="F17" s="39"/>
      <c r="G17" s="39"/>
      <c r="H17" s="47"/>
      <c r="I17" s="39"/>
      <c r="J17" s="39"/>
      <c r="K17" s="48"/>
    </row>
    <row r="18" spans="1:11" x14ac:dyDescent="0.2">
      <c r="A18" s="12" t="s">
        <v>36</v>
      </c>
      <c r="B18" s="12"/>
      <c r="C18" s="15"/>
      <c r="D18" s="39"/>
      <c r="E18" s="39"/>
      <c r="F18" s="39"/>
      <c r="G18" s="39"/>
      <c r="H18" s="47"/>
      <c r="I18" s="39"/>
      <c r="J18" s="39"/>
      <c r="K18" s="48"/>
    </row>
    <row r="19" spans="1:11" x14ac:dyDescent="0.2">
      <c r="A19" s="19"/>
      <c r="B19" s="19" t="s">
        <v>37</v>
      </c>
      <c r="C19" s="77"/>
      <c r="D19" s="71">
        <f>SUM('Opt1subsidies IndyVersion'!E14:G14)</f>
        <v>0</v>
      </c>
      <c r="E19" s="71">
        <f>SUM('Opt1subsidies IndyVersion'!H14:J14)</f>
        <v>0</v>
      </c>
      <c r="F19" s="71">
        <f>SUM('Opt1subsidies IndyVersion'!K14:M14)</f>
        <v>0</v>
      </c>
      <c r="G19" s="71">
        <f>SUM('Opt1subsidies IndyVersion'!N14:P14)</f>
        <v>0</v>
      </c>
      <c r="H19" s="70">
        <f>'Opt1subsidies IndyVersion'!S18</f>
        <v>31516.267756361205</v>
      </c>
      <c r="I19" s="71">
        <f>'Opt1subsidies IndyVersion'!V18</f>
        <v>9745.9078018157506</v>
      </c>
      <c r="J19" s="71">
        <f>'Opt1subsidies IndyVersion'!Y18</f>
        <v>-11588.015398184252</v>
      </c>
      <c r="K19" s="72">
        <f>'Opt1subsidies IndyVersion'!AB18</f>
        <v>-30133.205416366072</v>
      </c>
    </row>
    <row r="20" spans="1:11" x14ac:dyDescent="0.2">
      <c r="A20" s="10"/>
      <c r="B20" s="11"/>
      <c r="C20" s="11"/>
      <c r="D20" s="73"/>
      <c r="E20" s="74"/>
      <c r="F20" s="74"/>
      <c r="G20" s="75"/>
      <c r="H20" s="74"/>
      <c r="I20" s="74"/>
      <c r="J20" s="74"/>
      <c r="K20" s="75"/>
    </row>
    <row r="21" spans="1:11" x14ac:dyDescent="0.2">
      <c r="A21" s="12" t="s">
        <v>52</v>
      </c>
      <c r="B21" s="9"/>
      <c r="C21" s="9"/>
      <c r="D21" s="47">
        <f>SUM('Opt1subsidies IndyVersion'!E16:G16)</f>
        <v>0</v>
      </c>
      <c r="E21" s="39">
        <v>66766</v>
      </c>
      <c r="F21" s="40">
        <f t="shared" ref="F21:K22" si="0">E21-F5</f>
        <v>40118.43</v>
      </c>
      <c r="G21" s="41">
        <f t="shared" si="0"/>
        <v>15277.400000000001</v>
      </c>
      <c r="H21" s="40">
        <f t="shared" si="0"/>
        <v>0</v>
      </c>
      <c r="I21" s="40">
        <f t="shared" si="0"/>
        <v>0</v>
      </c>
      <c r="J21" s="40">
        <f t="shared" si="0"/>
        <v>0</v>
      </c>
      <c r="K21" s="41">
        <f t="shared" si="0"/>
        <v>0</v>
      </c>
    </row>
    <row r="22" spans="1:11" x14ac:dyDescent="0.2">
      <c r="A22" s="19" t="s">
        <v>102</v>
      </c>
      <c r="B22" s="20"/>
      <c r="C22" s="20"/>
      <c r="D22" s="70">
        <f>SUM('Opt1subsidies IndyVersion'!E17:G17)</f>
        <v>0</v>
      </c>
      <c r="E22" s="42">
        <f>83458-E21</f>
        <v>16692</v>
      </c>
      <c r="F22" s="42">
        <f t="shared" si="0"/>
        <v>10030.11</v>
      </c>
      <c r="G22" s="43">
        <f t="shared" si="0"/>
        <v>3819.8600000000006</v>
      </c>
      <c r="H22" s="42">
        <f t="shared" si="0"/>
        <v>3819.8600000000006</v>
      </c>
      <c r="I22" s="42">
        <f t="shared" si="0"/>
        <v>3819.8600000000006</v>
      </c>
      <c r="J22" s="42">
        <f t="shared" si="0"/>
        <v>3819.8600000000006</v>
      </c>
      <c r="K22" s="43">
        <f t="shared" si="0"/>
        <v>3819.8600000000006</v>
      </c>
    </row>
    <row r="23" spans="1:11" x14ac:dyDescent="0.2">
      <c r="C23" t="s">
        <v>58</v>
      </c>
      <c r="D23" s="31"/>
      <c r="E23" s="31">
        <f>SUM(E21:E22)</f>
        <v>83458</v>
      </c>
      <c r="F23" s="31">
        <f t="shared" ref="F23:K23" si="1">SUM(F21:F22)</f>
        <v>50148.54</v>
      </c>
      <c r="G23" s="31">
        <f t="shared" si="1"/>
        <v>19097.260000000002</v>
      </c>
      <c r="H23" s="31">
        <f t="shared" si="1"/>
        <v>3819.8600000000006</v>
      </c>
      <c r="I23" s="31">
        <f t="shared" si="1"/>
        <v>3819.8600000000006</v>
      </c>
      <c r="J23" s="31">
        <f t="shared" si="1"/>
        <v>3819.8600000000006</v>
      </c>
      <c r="K23" s="31">
        <f t="shared" si="1"/>
        <v>3819.8600000000006</v>
      </c>
    </row>
  </sheetData>
  <mergeCells count="2">
    <mergeCell ref="D2:G2"/>
    <mergeCell ref="H2:K2"/>
  </mergeCells>
  <pageMargins left="0.25" right="0.25" top="0.75" bottom="0.75" header="0.3" footer="0.3"/>
  <pageSetup fitToWidth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0">
    <pageSetUpPr fitToPage="1"/>
  </sheetPr>
  <dimension ref="A1:I50"/>
  <sheetViews>
    <sheetView topLeftCell="A2" workbookViewId="0">
      <selection activeCell="K22" sqref="K22"/>
    </sheetView>
  </sheetViews>
  <sheetFormatPr baseColWidth="10" defaultColWidth="8.83203125" defaultRowHeight="15" x14ac:dyDescent="0.2"/>
  <cols>
    <col min="1" max="1" width="13.5" customWidth="1"/>
    <col min="2" max="2" width="11.5" customWidth="1"/>
    <col min="3" max="6" width="13.5" customWidth="1"/>
    <col min="7" max="7" width="10.5" customWidth="1"/>
    <col min="8" max="8" width="11.5" bestFit="1" customWidth="1"/>
  </cols>
  <sheetData>
    <row r="1" spans="1:9" hidden="1" x14ac:dyDescent="0.2">
      <c r="G1">
        <v>120000</v>
      </c>
      <c r="H1">
        <v>30000</v>
      </c>
      <c r="I1">
        <v>0</v>
      </c>
    </row>
    <row r="2" spans="1:9" ht="26" x14ac:dyDescent="0.4">
      <c r="A2" s="80" t="s">
        <v>98</v>
      </c>
      <c r="G2" s="185" t="s">
        <v>95</v>
      </c>
      <c r="H2" s="186"/>
      <c r="I2" s="187"/>
    </row>
    <row r="3" spans="1:9" x14ac:dyDescent="0.2">
      <c r="A3" s="84" t="s">
        <v>1</v>
      </c>
      <c r="B3" s="84" t="s">
        <v>92</v>
      </c>
      <c r="C3" s="84" t="s">
        <v>38</v>
      </c>
      <c r="D3" s="84" t="s">
        <v>96</v>
      </c>
      <c r="E3" s="84" t="s">
        <v>94</v>
      </c>
      <c r="F3" s="84" t="s">
        <v>93</v>
      </c>
      <c r="G3" s="85" t="s">
        <v>30</v>
      </c>
      <c r="H3" s="86" t="s">
        <v>91</v>
      </c>
      <c r="I3" s="87" t="s">
        <v>38</v>
      </c>
    </row>
    <row r="4" spans="1:9" x14ac:dyDescent="0.2">
      <c r="A4" t="s">
        <v>16</v>
      </c>
      <c r="B4" s="30">
        <v>12500</v>
      </c>
      <c r="C4" s="30">
        <v>2000</v>
      </c>
      <c r="D4" s="30">
        <f>B4-C4</f>
        <v>10500</v>
      </c>
      <c r="E4" s="30">
        <f>0.8*D4</f>
        <v>8400</v>
      </c>
      <c r="F4" s="30">
        <f>0.2*D4</f>
        <v>2100</v>
      </c>
      <c r="G4" s="47">
        <f>G1-E4</f>
        <v>111600</v>
      </c>
      <c r="H4" s="39">
        <f>H1-F4</f>
        <v>27900</v>
      </c>
      <c r="I4" s="48">
        <f>D4-B4+C4</f>
        <v>0</v>
      </c>
    </row>
    <row r="5" spans="1:9" x14ac:dyDescent="0.2">
      <c r="A5" t="s">
        <v>17</v>
      </c>
      <c r="B5" s="30">
        <v>12500</v>
      </c>
      <c r="C5" s="30">
        <v>1750</v>
      </c>
      <c r="D5" s="30">
        <f>B5-C5</f>
        <v>10750</v>
      </c>
      <c r="E5" s="30">
        <f>0.8*D5</f>
        <v>8600</v>
      </c>
      <c r="F5" s="30">
        <f>0.2*D5</f>
        <v>2150</v>
      </c>
      <c r="G5" s="47">
        <f>G4-E5</f>
        <v>103000</v>
      </c>
      <c r="H5" s="39">
        <f>H4-F5</f>
        <v>25750</v>
      </c>
      <c r="I5" s="48">
        <f>D5-B5+C5+I4</f>
        <v>0</v>
      </c>
    </row>
    <row r="6" spans="1:9" x14ac:dyDescent="0.2">
      <c r="A6" t="s">
        <v>18</v>
      </c>
      <c r="B6" s="30">
        <v>12500</v>
      </c>
      <c r="C6" s="30">
        <v>1500</v>
      </c>
      <c r="D6" s="30">
        <f t="shared" ref="D6:D15" si="0">B6-C6</f>
        <v>11000</v>
      </c>
      <c r="E6" s="30">
        <f t="shared" ref="E6:E15" si="1">0.8*D6</f>
        <v>8800</v>
      </c>
      <c r="F6" s="30">
        <f t="shared" ref="F6:F15" si="2">0.2*D6</f>
        <v>2200</v>
      </c>
      <c r="G6" s="47">
        <f t="shared" ref="G6:G15" si="3">G5-E6</f>
        <v>94200</v>
      </c>
      <c r="H6" s="39">
        <f t="shared" ref="H6:H15" si="4">H5-F6</f>
        <v>23550</v>
      </c>
      <c r="I6" s="48">
        <f t="shared" ref="I6:I15" si="5">D6-B6+C6+I5</f>
        <v>0</v>
      </c>
    </row>
    <row r="7" spans="1:9" x14ac:dyDescent="0.2">
      <c r="A7" t="s">
        <v>19</v>
      </c>
      <c r="B7" s="30">
        <v>12500</v>
      </c>
      <c r="C7" s="30">
        <v>1250</v>
      </c>
      <c r="D7" s="30">
        <f t="shared" si="0"/>
        <v>11250</v>
      </c>
      <c r="E7" s="30">
        <f t="shared" si="1"/>
        <v>9000</v>
      </c>
      <c r="F7" s="30">
        <f t="shared" si="2"/>
        <v>2250</v>
      </c>
      <c r="G7" s="47">
        <f t="shared" si="3"/>
        <v>85200</v>
      </c>
      <c r="H7" s="39">
        <f t="shared" si="4"/>
        <v>21300</v>
      </c>
      <c r="I7" s="48">
        <f t="shared" si="5"/>
        <v>0</v>
      </c>
    </row>
    <row r="8" spans="1:9" x14ac:dyDescent="0.2">
      <c r="A8" t="s">
        <v>20</v>
      </c>
      <c r="B8" s="30">
        <v>12500</v>
      </c>
      <c r="C8" s="30">
        <v>1250</v>
      </c>
      <c r="D8" s="30">
        <f t="shared" si="0"/>
        <v>11250</v>
      </c>
      <c r="E8" s="30">
        <f t="shared" si="1"/>
        <v>9000</v>
      </c>
      <c r="F8" s="30">
        <f t="shared" si="2"/>
        <v>2250</v>
      </c>
      <c r="G8" s="47">
        <f t="shared" si="3"/>
        <v>76200</v>
      </c>
      <c r="H8" s="39">
        <f t="shared" si="4"/>
        <v>19050</v>
      </c>
      <c r="I8" s="48">
        <f t="shared" si="5"/>
        <v>0</v>
      </c>
    </row>
    <row r="9" spans="1:9" x14ac:dyDescent="0.2">
      <c r="A9" t="s">
        <v>21</v>
      </c>
      <c r="B9" s="30">
        <v>12500</v>
      </c>
      <c r="C9" s="30">
        <v>1300</v>
      </c>
      <c r="D9" s="30">
        <f t="shared" si="0"/>
        <v>11200</v>
      </c>
      <c r="E9" s="30">
        <f t="shared" si="1"/>
        <v>8960</v>
      </c>
      <c r="F9" s="30">
        <f t="shared" si="2"/>
        <v>2240</v>
      </c>
      <c r="G9" s="47">
        <f t="shared" si="3"/>
        <v>67240</v>
      </c>
      <c r="H9" s="39">
        <f t="shared" si="4"/>
        <v>16810</v>
      </c>
      <c r="I9" s="48">
        <f t="shared" si="5"/>
        <v>0</v>
      </c>
    </row>
    <row r="10" spans="1:9" x14ac:dyDescent="0.2">
      <c r="A10" t="s">
        <v>22</v>
      </c>
      <c r="B10" s="30">
        <v>12500</v>
      </c>
      <c r="C10" s="30">
        <v>1400</v>
      </c>
      <c r="D10" s="30">
        <f t="shared" si="0"/>
        <v>11100</v>
      </c>
      <c r="E10" s="30">
        <f t="shared" si="1"/>
        <v>8880</v>
      </c>
      <c r="F10" s="30">
        <f t="shared" si="2"/>
        <v>2220</v>
      </c>
      <c r="G10" s="47">
        <f t="shared" si="3"/>
        <v>58360</v>
      </c>
      <c r="H10" s="39">
        <f t="shared" si="4"/>
        <v>14590</v>
      </c>
      <c r="I10" s="48">
        <f t="shared" si="5"/>
        <v>0</v>
      </c>
    </row>
    <row r="11" spans="1:9" x14ac:dyDescent="0.2">
      <c r="A11" t="s">
        <v>23</v>
      </c>
      <c r="B11" s="30">
        <v>12500</v>
      </c>
      <c r="C11" s="30">
        <v>1500</v>
      </c>
      <c r="D11" s="30">
        <f t="shared" si="0"/>
        <v>11000</v>
      </c>
      <c r="E11" s="30">
        <f t="shared" si="1"/>
        <v>8800</v>
      </c>
      <c r="F11" s="30">
        <f t="shared" si="2"/>
        <v>2200</v>
      </c>
      <c r="G11" s="47">
        <f t="shared" si="3"/>
        <v>49560</v>
      </c>
      <c r="H11" s="39">
        <f t="shared" si="4"/>
        <v>12390</v>
      </c>
      <c r="I11" s="48">
        <f t="shared" si="5"/>
        <v>0</v>
      </c>
    </row>
    <row r="12" spans="1:9" x14ac:dyDescent="0.2">
      <c r="A12" t="s">
        <v>24</v>
      </c>
      <c r="B12" s="30">
        <v>12500</v>
      </c>
      <c r="C12" s="30">
        <v>1600</v>
      </c>
      <c r="D12" s="30">
        <f t="shared" si="0"/>
        <v>10900</v>
      </c>
      <c r="E12" s="30">
        <f t="shared" si="1"/>
        <v>8720</v>
      </c>
      <c r="F12" s="30">
        <f t="shared" si="2"/>
        <v>2180</v>
      </c>
      <c r="G12" s="47">
        <f t="shared" si="3"/>
        <v>40840</v>
      </c>
      <c r="H12" s="39">
        <f t="shared" si="4"/>
        <v>10210</v>
      </c>
      <c r="I12" s="48">
        <f t="shared" si="5"/>
        <v>0</v>
      </c>
    </row>
    <row r="13" spans="1:9" x14ac:dyDescent="0.2">
      <c r="A13" t="s">
        <v>25</v>
      </c>
      <c r="B13" s="30">
        <v>12500</v>
      </c>
      <c r="C13" s="30">
        <v>1700</v>
      </c>
      <c r="D13" s="30">
        <f t="shared" si="0"/>
        <v>10800</v>
      </c>
      <c r="E13" s="30">
        <f t="shared" si="1"/>
        <v>8640</v>
      </c>
      <c r="F13" s="30">
        <f t="shared" si="2"/>
        <v>2160</v>
      </c>
      <c r="G13" s="47">
        <f t="shared" si="3"/>
        <v>32200</v>
      </c>
      <c r="H13" s="39">
        <f t="shared" si="4"/>
        <v>8050</v>
      </c>
      <c r="I13" s="48">
        <f t="shared" si="5"/>
        <v>0</v>
      </c>
    </row>
    <row r="14" spans="1:9" x14ac:dyDescent="0.2">
      <c r="A14" t="s">
        <v>26</v>
      </c>
      <c r="B14" s="30">
        <v>12500</v>
      </c>
      <c r="C14" s="30">
        <v>1950</v>
      </c>
      <c r="D14" s="30">
        <f t="shared" si="0"/>
        <v>10550</v>
      </c>
      <c r="E14" s="30">
        <f t="shared" si="1"/>
        <v>8440</v>
      </c>
      <c r="F14" s="30">
        <f t="shared" si="2"/>
        <v>2110</v>
      </c>
      <c r="G14" s="47">
        <f t="shared" si="3"/>
        <v>23760</v>
      </c>
      <c r="H14" s="39">
        <f t="shared" si="4"/>
        <v>5940</v>
      </c>
      <c r="I14" s="48">
        <f t="shared" si="5"/>
        <v>0</v>
      </c>
    </row>
    <row r="15" spans="1:9" x14ac:dyDescent="0.2">
      <c r="A15" s="67" t="s">
        <v>27</v>
      </c>
      <c r="B15" s="30">
        <v>12500</v>
      </c>
      <c r="C15" s="30">
        <v>2200</v>
      </c>
      <c r="D15" s="30">
        <f t="shared" si="0"/>
        <v>10300</v>
      </c>
      <c r="E15" s="30">
        <f t="shared" si="1"/>
        <v>8240</v>
      </c>
      <c r="F15" s="30">
        <f t="shared" si="2"/>
        <v>2060</v>
      </c>
      <c r="G15" s="88">
        <f t="shared" si="3"/>
        <v>15520</v>
      </c>
      <c r="H15" s="89">
        <f t="shared" si="4"/>
        <v>3880</v>
      </c>
      <c r="I15" s="90">
        <f t="shared" si="5"/>
        <v>0</v>
      </c>
    </row>
    <row r="16" spans="1:9" x14ac:dyDescent="0.2">
      <c r="A16" s="83"/>
      <c r="B16" s="83"/>
      <c r="C16" s="83"/>
      <c r="D16" s="83"/>
      <c r="E16" s="83"/>
      <c r="F16" s="83"/>
      <c r="G16" s="91">
        <f>SUM(G15:I15)</f>
        <v>19400</v>
      </c>
      <c r="H16" s="92" t="s">
        <v>97</v>
      </c>
      <c r="I16" s="83"/>
    </row>
    <row r="18" spans="1:9" hidden="1" x14ac:dyDescent="0.2">
      <c r="G18">
        <v>120000</v>
      </c>
      <c r="H18">
        <v>30000</v>
      </c>
      <c r="I18">
        <v>0</v>
      </c>
    </row>
    <row r="19" spans="1:9" ht="26" x14ac:dyDescent="0.4">
      <c r="A19" s="80" t="s">
        <v>99</v>
      </c>
      <c r="G19" s="185" t="s">
        <v>95</v>
      </c>
      <c r="H19" s="186"/>
      <c r="I19" s="187"/>
    </row>
    <row r="20" spans="1:9" x14ac:dyDescent="0.2">
      <c r="A20" s="84" t="s">
        <v>1</v>
      </c>
      <c r="B20" s="84" t="s">
        <v>92</v>
      </c>
      <c r="C20" s="84" t="s">
        <v>38</v>
      </c>
      <c r="D20" s="84" t="s">
        <v>96</v>
      </c>
      <c r="E20" s="84" t="s">
        <v>94</v>
      </c>
      <c r="F20" s="84" t="s">
        <v>93</v>
      </c>
      <c r="G20" s="85" t="s">
        <v>30</v>
      </c>
      <c r="H20" s="86" t="s">
        <v>91</v>
      </c>
      <c r="I20" s="87" t="s">
        <v>38</v>
      </c>
    </row>
    <row r="21" spans="1:9" x14ac:dyDescent="0.2">
      <c r="A21" t="s">
        <v>16</v>
      </c>
      <c r="B21" s="30">
        <v>12500</v>
      </c>
      <c r="C21" s="30">
        <v>2000</v>
      </c>
      <c r="D21" s="30">
        <f>B21</f>
        <v>12500</v>
      </c>
      <c r="E21" s="30">
        <f>0.8*D21</f>
        <v>10000</v>
      </c>
      <c r="F21" s="30">
        <f>0.2*D21</f>
        <v>2500</v>
      </c>
      <c r="G21" s="47">
        <f>G18-E21</f>
        <v>110000</v>
      </c>
      <c r="H21" s="39">
        <f>H18-F21</f>
        <v>27500</v>
      </c>
      <c r="I21" s="48">
        <f>D21-B21+C21</f>
        <v>2000</v>
      </c>
    </row>
    <row r="22" spans="1:9" x14ac:dyDescent="0.2">
      <c r="A22" t="s">
        <v>17</v>
      </c>
      <c r="B22" s="30">
        <v>12500</v>
      </c>
      <c r="C22" s="30">
        <v>1750</v>
      </c>
      <c r="D22" s="30">
        <f t="shared" ref="D22:D32" si="6">B22</f>
        <v>12500</v>
      </c>
      <c r="E22" s="30">
        <f>0.8*D22</f>
        <v>10000</v>
      </c>
      <c r="F22" s="30">
        <f>0.2*D22</f>
        <v>2500</v>
      </c>
      <c r="G22" s="47">
        <f>G21-E22</f>
        <v>100000</v>
      </c>
      <c r="H22" s="39">
        <f>H21-F22</f>
        <v>25000</v>
      </c>
      <c r="I22" s="48">
        <f>D22-B22+C22+I21</f>
        <v>3750</v>
      </c>
    </row>
    <row r="23" spans="1:9" x14ac:dyDescent="0.2">
      <c r="A23" t="s">
        <v>18</v>
      </c>
      <c r="B23" s="30">
        <v>12500</v>
      </c>
      <c r="C23" s="30">
        <v>1500</v>
      </c>
      <c r="D23" s="30">
        <f t="shared" si="6"/>
        <v>12500</v>
      </c>
      <c r="E23" s="30">
        <f t="shared" ref="E23:E32" si="7">0.8*D23</f>
        <v>10000</v>
      </c>
      <c r="F23" s="30">
        <f t="shared" ref="F23:F32" si="8">0.2*D23</f>
        <v>2500</v>
      </c>
      <c r="G23" s="47">
        <f t="shared" ref="G23:G32" si="9">G22-E23</f>
        <v>90000</v>
      </c>
      <c r="H23" s="39">
        <f t="shared" ref="H23:H32" si="10">H22-F23</f>
        <v>22500</v>
      </c>
      <c r="I23" s="48">
        <f t="shared" ref="I23:I32" si="11">D23-B23+C23+I22</f>
        <v>5250</v>
      </c>
    </row>
    <row r="24" spans="1:9" x14ac:dyDescent="0.2">
      <c r="A24" t="s">
        <v>19</v>
      </c>
      <c r="B24" s="30">
        <v>12500</v>
      </c>
      <c r="C24" s="30">
        <v>1250</v>
      </c>
      <c r="D24" s="30">
        <f t="shared" si="6"/>
        <v>12500</v>
      </c>
      <c r="E24" s="30">
        <f t="shared" si="7"/>
        <v>10000</v>
      </c>
      <c r="F24" s="30">
        <f t="shared" si="8"/>
        <v>2500</v>
      </c>
      <c r="G24" s="47">
        <f t="shared" si="9"/>
        <v>80000</v>
      </c>
      <c r="H24" s="39">
        <f t="shared" si="10"/>
        <v>20000</v>
      </c>
      <c r="I24" s="48">
        <f t="shared" si="11"/>
        <v>6500</v>
      </c>
    </row>
    <row r="25" spans="1:9" x14ac:dyDescent="0.2">
      <c r="A25" t="s">
        <v>20</v>
      </c>
      <c r="B25" s="30">
        <v>12500</v>
      </c>
      <c r="C25" s="30">
        <v>1250</v>
      </c>
      <c r="D25" s="30">
        <f t="shared" si="6"/>
        <v>12500</v>
      </c>
      <c r="E25" s="30">
        <f t="shared" si="7"/>
        <v>10000</v>
      </c>
      <c r="F25" s="30">
        <f t="shared" si="8"/>
        <v>2500</v>
      </c>
      <c r="G25" s="47">
        <f t="shared" si="9"/>
        <v>70000</v>
      </c>
      <c r="H25" s="39">
        <f t="shared" si="10"/>
        <v>17500</v>
      </c>
      <c r="I25" s="48">
        <f t="shared" si="11"/>
        <v>7750</v>
      </c>
    </row>
    <row r="26" spans="1:9" x14ac:dyDescent="0.2">
      <c r="A26" t="s">
        <v>21</v>
      </c>
      <c r="B26" s="30">
        <v>12500</v>
      </c>
      <c r="C26" s="30">
        <v>1300</v>
      </c>
      <c r="D26" s="30">
        <f t="shared" si="6"/>
        <v>12500</v>
      </c>
      <c r="E26" s="30">
        <f t="shared" si="7"/>
        <v>10000</v>
      </c>
      <c r="F26" s="30">
        <f t="shared" si="8"/>
        <v>2500</v>
      </c>
      <c r="G26" s="47">
        <f t="shared" si="9"/>
        <v>60000</v>
      </c>
      <c r="H26" s="39">
        <f t="shared" si="10"/>
        <v>15000</v>
      </c>
      <c r="I26" s="48">
        <f t="shared" si="11"/>
        <v>9050</v>
      </c>
    </row>
    <row r="27" spans="1:9" x14ac:dyDescent="0.2">
      <c r="A27" t="s">
        <v>22</v>
      </c>
      <c r="B27" s="30">
        <v>12500</v>
      </c>
      <c r="C27" s="30">
        <v>1400</v>
      </c>
      <c r="D27" s="30">
        <f t="shared" si="6"/>
        <v>12500</v>
      </c>
      <c r="E27" s="30">
        <f t="shared" si="7"/>
        <v>10000</v>
      </c>
      <c r="F27" s="30">
        <f t="shared" si="8"/>
        <v>2500</v>
      </c>
      <c r="G27" s="47">
        <f t="shared" si="9"/>
        <v>50000</v>
      </c>
      <c r="H27" s="39">
        <f t="shared" si="10"/>
        <v>12500</v>
      </c>
      <c r="I27" s="48">
        <f t="shared" si="11"/>
        <v>10450</v>
      </c>
    </row>
    <row r="28" spans="1:9" x14ac:dyDescent="0.2">
      <c r="A28" t="s">
        <v>23</v>
      </c>
      <c r="B28" s="30">
        <v>12500</v>
      </c>
      <c r="C28" s="30">
        <v>1500</v>
      </c>
      <c r="D28" s="30">
        <f t="shared" si="6"/>
        <v>12500</v>
      </c>
      <c r="E28" s="30">
        <f t="shared" si="7"/>
        <v>10000</v>
      </c>
      <c r="F28" s="30">
        <f t="shared" si="8"/>
        <v>2500</v>
      </c>
      <c r="G28" s="47">
        <f t="shared" si="9"/>
        <v>40000</v>
      </c>
      <c r="H28" s="39">
        <f t="shared" si="10"/>
        <v>10000</v>
      </c>
      <c r="I28" s="48">
        <f t="shared" si="11"/>
        <v>11950</v>
      </c>
    </row>
    <row r="29" spans="1:9" x14ac:dyDescent="0.2">
      <c r="A29" t="s">
        <v>24</v>
      </c>
      <c r="B29" s="30">
        <v>12500</v>
      </c>
      <c r="C29" s="30">
        <v>1600</v>
      </c>
      <c r="D29" s="30">
        <f t="shared" si="6"/>
        <v>12500</v>
      </c>
      <c r="E29" s="30">
        <f t="shared" si="7"/>
        <v>10000</v>
      </c>
      <c r="F29" s="30">
        <f t="shared" si="8"/>
        <v>2500</v>
      </c>
      <c r="G29" s="47">
        <f t="shared" si="9"/>
        <v>30000</v>
      </c>
      <c r="H29" s="39">
        <f t="shared" si="10"/>
        <v>7500</v>
      </c>
      <c r="I29" s="48">
        <f t="shared" si="11"/>
        <v>13550</v>
      </c>
    </row>
    <row r="30" spans="1:9" x14ac:dyDescent="0.2">
      <c r="A30" t="s">
        <v>25</v>
      </c>
      <c r="B30" s="30">
        <v>12500</v>
      </c>
      <c r="C30" s="30">
        <v>1700</v>
      </c>
      <c r="D30" s="30">
        <f t="shared" si="6"/>
        <v>12500</v>
      </c>
      <c r="E30" s="30">
        <f t="shared" si="7"/>
        <v>10000</v>
      </c>
      <c r="F30" s="30">
        <f t="shared" si="8"/>
        <v>2500</v>
      </c>
      <c r="G30" s="47">
        <f t="shared" si="9"/>
        <v>20000</v>
      </c>
      <c r="H30" s="39">
        <f t="shared" si="10"/>
        <v>5000</v>
      </c>
      <c r="I30" s="48">
        <f t="shared" si="11"/>
        <v>15250</v>
      </c>
    </row>
    <row r="31" spans="1:9" x14ac:dyDescent="0.2">
      <c r="A31" t="s">
        <v>26</v>
      </c>
      <c r="B31" s="30">
        <v>12500</v>
      </c>
      <c r="C31" s="30">
        <v>1950</v>
      </c>
      <c r="D31" s="30">
        <f t="shared" si="6"/>
        <v>12500</v>
      </c>
      <c r="E31" s="30">
        <f t="shared" si="7"/>
        <v>10000</v>
      </c>
      <c r="F31" s="30">
        <f t="shared" si="8"/>
        <v>2500</v>
      </c>
      <c r="G31" s="47">
        <f t="shared" si="9"/>
        <v>10000</v>
      </c>
      <c r="H31" s="39">
        <f t="shared" si="10"/>
        <v>2500</v>
      </c>
      <c r="I31" s="48">
        <f t="shared" si="11"/>
        <v>17200</v>
      </c>
    </row>
    <row r="32" spans="1:9" x14ac:dyDescent="0.2">
      <c r="A32" s="67" t="s">
        <v>27</v>
      </c>
      <c r="B32" s="30">
        <v>12500</v>
      </c>
      <c r="C32" s="30">
        <v>2200</v>
      </c>
      <c r="D32" s="30">
        <f t="shared" si="6"/>
        <v>12500</v>
      </c>
      <c r="E32" s="30">
        <f t="shared" si="7"/>
        <v>10000</v>
      </c>
      <c r="F32" s="30">
        <f t="shared" si="8"/>
        <v>2500</v>
      </c>
      <c r="G32" s="88">
        <f t="shared" si="9"/>
        <v>0</v>
      </c>
      <c r="H32" s="89">
        <f t="shared" si="10"/>
        <v>0</v>
      </c>
      <c r="I32" s="90">
        <f t="shared" si="11"/>
        <v>19400</v>
      </c>
    </row>
    <row r="33" spans="1:9" x14ac:dyDescent="0.2">
      <c r="G33" s="91">
        <f>SUM(G32:I32)</f>
        <v>19400</v>
      </c>
      <c r="H33" s="92" t="s">
        <v>97</v>
      </c>
      <c r="I33" s="83"/>
    </row>
    <row r="35" spans="1:9" hidden="1" x14ac:dyDescent="0.2">
      <c r="G35">
        <v>120000</v>
      </c>
      <c r="H35">
        <v>30000</v>
      </c>
      <c r="I35">
        <v>0</v>
      </c>
    </row>
    <row r="36" spans="1:9" ht="26" x14ac:dyDescent="0.4">
      <c r="A36" s="80" t="s">
        <v>100</v>
      </c>
      <c r="G36" s="185" t="s">
        <v>95</v>
      </c>
      <c r="H36" s="186"/>
      <c r="I36" s="187"/>
    </row>
    <row r="37" spans="1:9" x14ac:dyDescent="0.2">
      <c r="A37" s="84" t="s">
        <v>1</v>
      </c>
      <c r="B37" s="84" t="s">
        <v>92</v>
      </c>
      <c r="C37" s="84" t="s">
        <v>38</v>
      </c>
      <c r="D37" s="84" t="s">
        <v>96</v>
      </c>
      <c r="E37" s="84" t="s">
        <v>94</v>
      </c>
      <c r="F37" s="84" t="s">
        <v>93</v>
      </c>
      <c r="G37" s="85" t="s">
        <v>30</v>
      </c>
      <c r="H37" s="86" t="s">
        <v>91</v>
      </c>
      <c r="I37" s="87" t="s">
        <v>38</v>
      </c>
    </row>
    <row r="38" spans="1:9" x14ac:dyDescent="0.2">
      <c r="A38" t="s">
        <v>16</v>
      </c>
      <c r="B38" s="30">
        <v>12500</v>
      </c>
      <c r="C38" s="30">
        <v>2000</v>
      </c>
      <c r="D38" s="30">
        <f>B38</f>
        <v>12500</v>
      </c>
      <c r="E38" s="30">
        <f>0.8*D38</f>
        <v>10000</v>
      </c>
      <c r="F38" s="30">
        <f>0.2*D38-C38</f>
        <v>500</v>
      </c>
      <c r="G38" s="47">
        <f>G35-E38</f>
        <v>110000</v>
      </c>
      <c r="H38" s="39">
        <f>H35-F38</f>
        <v>29500</v>
      </c>
      <c r="I38" s="48">
        <v>0</v>
      </c>
    </row>
    <row r="39" spans="1:9" x14ac:dyDescent="0.2">
      <c r="A39" t="s">
        <v>17</v>
      </c>
      <c r="B39" s="30">
        <v>12500</v>
      </c>
      <c r="C39" s="30">
        <v>1750</v>
      </c>
      <c r="D39" s="30">
        <f t="shared" ref="D39:D49" si="12">B39</f>
        <v>12500</v>
      </c>
      <c r="E39" s="30">
        <f>0.8*D39</f>
        <v>10000</v>
      </c>
      <c r="F39" s="30">
        <f t="shared" ref="F39:F49" si="13">0.2*D39-C39</f>
        <v>750</v>
      </c>
      <c r="G39" s="47">
        <f>G38-E39</f>
        <v>100000</v>
      </c>
      <c r="H39" s="39">
        <f>H38-F39</f>
        <v>28750</v>
      </c>
      <c r="I39" s="48">
        <v>0</v>
      </c>
    </row>
    <row r="40" spans="1:9" x14ac:dyDescent="0.2">
      <c r="A40" t="s">
        <v>18</v>
      </c>
      <c r="B40" s="30">
        <v>12500</v>
      </c>
      <c r="C40" s="30">
        <v>1500</v>
      </c>
      <c r="D40" s="30">
        <f t="shared" si="12"/>
        <v>12500</v>
      </c>
      <c r="E40" s="30">
        <f t="shared" ref="E40:E49" si="14">0.8*D40</f>
        <v>10000</v>
      </c>
      <c r="F40" s="30">
        <f t="shared" si="13"/>
        <v>1000</v>
      </c>
      <c r="G40" s="47">
        <f t="shared" ref="G40:G49" si="15">G39-E40</f>
        <v>90000</v>
      </c>
      <c r="H40" s="39">
        <f t="shared" ref="H40:H49" si="16">H39-F40</f>
        <v>27750</v>
      </c>
      <c r="I40" s="48">
        <v>0</v>
      </c>
    </row>
    <row r="41" spans="1:9" x14ac:dyDescent="0.2">
      <c r="A41" t="s">
        <v>19</v>
      </c>
      <c r="B41" s="30">
        <v>12500</v>
      </c>
      <c r="C41" s="30">
        <v>1250</v>
      </c>
      <c r="D41" s="30">
        <f t="shared" si="12"/>
        <v>12500</v>
      </c>
      <c r="E41" s="30">
        <f t="shared" si="14"/>
        <v>10000</v>
      </c>
      <c r="F41" s="30">
        <f t="shared" si="13"/>
        <v>1250</v>
      </c>
      <c r="G41" s="47">
        <f t="shared" si="15"/>
        <v>80000</v>
      </c>
      <c r="H41" s="39">
        <f t="shared" si="16"/>
        <v>26500</v>
      </c>
      <c r="I41" s="48">
        <v>0</v>
      </c>
    </row>
    <row r="42" spans="1:9" x14ac:dyDescent="0.2">
      <c r="A42" t="s">
        <v>20</v>
      </c>
      <c r="B42" s="30">
        <v>12500</v>
      </c>
      <c r="C42" s="30">
        <v>1250</v>
      </c>
      <c r="D42" s="30">
        <f t="shared" si="12"/>
        <v>12500</v>
      </c>
      <c r="E42" s="30">
        <f t="shared" si="14"/>
        <v>10000</v>
      </c>
      <c r="F42" s="30">
        <f t="shared" si="13"/>
        <v>1250</v>
      </c>
      <c r="G42" s="47">
        <f t="shared" si="15"/>
        <v>70000</v>
      </c>
      <c r="H42" s="39">
        <f t="shared" si="16"/>
        <v>25250</v>
      </c>
      <c r="I42" s="48">
        <v>0</v>
      </c>
    </row>
    <row r="43" spans="1:9" x14ac:dyDescent="0.2">
      <c r="A43" t="s">
        <v>21</v>
      </c>
      <c r="B43" s="30">
        <v>12500</v>
      </c>
      <c r="C43" s="30">
        <v>1300</v>
      </c>
      <c r="D43" s="30">
        <f t="shared" si="12"/>
        <v>12500</v>
      </c>
      <c r="E43" s="30">
        <f t="shared" si="14"/>
        <v>10000</v>
      </c>
      <c r="F43" s="30">
        <f t="shared" si="13"/>
        <v>1200</v>
      </c>
      <c r="G43" s="47">
        <f t="shared" si="15"/>
        <v>60000</v>
      </c>
      <c r="H43" s="39">
        <f t="shared" si="16"/>
        <v>24050</v>
      </c>
      <c r="I43" s="48">
        <v>0</v>
      </c>
    </row>
    <row r="44" spans="1:9" x14ac:dyDescent="0.2">
      <c r="A44" t="s">
        <v>22</v>
      </c>
      <c r="B44" s="30">
        <v>12500</v>
      </c>
      <c r="C44" s="30">
        <v>1400</v>
      </c>
      <c r="D44" s="30">
        <f t="shared" si="12"/>
        <v>12500</v>
      </c>
      <c r="E44" s="30">
        <f t="shared" si="14"/>
        <v>10000</v>
      </c>
      <c r="F44" s="30">
        <f t="shared" si="13"/>
        <v>1100</v>
      </c>
      <c r="G44" s="47">
        <f t="shared" si="15"/>
        <v>50000</v>
      </c>
      <c r="H44" s="39">
        <f t="shared" si="16"/>
        <v>22950</v>
      </c>
      <c r="I44" s="48">
        <v>0</v>
      </c>
    </row>
    <row r="45" spans="1:9" x14ac:dyDescent="0.2">
      <c r="A45" t="s">
        <v>23</v>
      </c>
      <c r="B45" s="30">
        <v>12500</v>
      </c>
      <c r="C45" s="30">
        <v>1500</v>
      </c>
      <c r="D45" s="30">
        <f t="shared" si="12"/>
        <v>12500</v>
      </c>
      <c r="E45" s="30">
        <f t="shared" si="14"/>
        <v>10000</v>
      </c>
      <c r="F45" s="30">
        <f t="shared" si="13"/>
        <v>1000</v>
      </c>
      <c r="G45" s="47">
        <f t="shared" si="15"/>
        <v>40000</v>
      </c>
      <c r="H45" s="39">
        <f t="shared" si="16"/>
        <v>21950</v>
      </c>
      <c r="I45" s="48">
        <v>0</v>
      </c>
    </row>
    <row r="46" spans="1:9" x14ac:dyDescent="0.2">
      <c r="A46" t="s">
        <v>24</v>
      </c>
      <c r="B46" s="30">
        <v>12500</v>
      </c>
      <c r="C46" s="30">
        <v>1600</v>
      </c>
      <c r="D46" s="30">
        <f t="shared" si="12"/>
        <v>12500</v>
      </c>
      <c r="E46" s="30">
        <f t="shared" si="14"/>
        <v>10000</v>
      </c>
      <c r="F46" s="30">
        <f t="shared" si="13"/>
        <v>900</v>
      </c>
      <c r="G46" s="47">
        <f t="shared" si="15"/>
        <v>30000</v>
      </c>
      <c r="H46" s="39">
        <f t="shared" si="16"/>
        <v>21050</v>
      </c>
      <c r="I46" s="48">
        <v>0</v>
      </c>
    </row>
    <row r="47" spans="1:9" x14ac:dyDescent="0.2">
      <c r="A47" t="s">
        <v>25</v>
      </c>
      <c r="B47" s="30">
        <v>12500</v>
      </c>
      <c r="C47" s="30">
        <v>1700</v>
      </c>
      <c r="D47" s="30">
        <f t="shared" si="12"/>
        <v>12500</v>
      </c>
      <c r="E47" s="30">
        <f t="shared" si="14"/>
        <v>10000</v>
      </c>
      <c r="F47" s="30">
        <f t="shared" si="13"/>
        <v>800</v>
      </c>
      <c r="G47" s="47">
        <f t="shared" si="15"/>
        <v>20000</v>
      </c>
      <c r="H47" s="39">
        <f t="shared" si="16"/>
        <v>20250</v>
      </c>
      <c r="I47" s="48">
        <v>0</v>
      </c>
    </row>
    <row r="48" spans="1:9" x14ac:dyDescent="0.2">
      <c r="A48" t="s">
        <v>26</v>
      </c>
      <c r="B48" s="30">
        <v>12500</v>
      </c>
      <c r="C48" s="30">
        <v>1950</v>
      </c>
      <c r="D48" s="30">
        <f t="shared" si="12"/>
        <v>12500</v>
      </c>
      <c r="E48" s="30">
        <f t="shared" si="14"/>
        <v>10000</v>
      </c>
      <c r="F48" s="30">
        <f t="shared" si="13"/>
        <v>550</v>
      </c>
      <c r="G48" s="47">
        <f t="shared" si="15"/>
        <v>10000</v>
      </c>
      <c r="H48" s="39">
        <f t="shared" si="16"/>
        <v>19700</v>
      </c>
      <c r="I48" s="48">
        <v>0</v>
      </c>
    </row>
    <row r="49" spans="1:9" x14ac:dyDescent="0.2">
      <c r="A49" s="67" t="s">
        <v>27</v>
      </c>
      <c r="B49" s="30">
        <v>12500</v>
      </c>
      <c r="C49" s="30">
        <v>2200</v>
      </c>
      <c r="D49" s="30">
        <f t="shared" si="12"/>
        <v>12500</v>
      </c>
      <c r="E49" s="30">
        <f t="shared" si="14"/>
        <v>10000</v>
      </c>
      <c r="F49" s="30">
        <f t="shared" si="13"/>
        <v>300</v>
      </c>
      <c r="G49" s="88">
        <f t="shared" si="15"/>
        <v>0</v>
      </c>
      <c r="H49" s="89">
        <f t="shared" si="16"/>
        <v>19400</v>
      </c>
      <c r="I49" s="90">
        <v>0</v>
      </c>
    </row>
    <row r="50" spans="1:9" x14ac:dyDescent="0.2">
      <c r="G50" s="91">
        <f>SUM(G49:I49)</f>
        <v>19400</v>
      </c>
      <c r="H50" s="92" t="s">
        <v>97</v>
      </c>
      <c r="I50" s="83"/>
    </row>
  </sheetData>
  <mergeCells count="3">
    <mergeCell ref="G2:I2"/>
    <mergeCell ref="G19:I19"/>
    <mergeCell ref="G36:I36"/>
  </mergeCells>
  <pageMargins left="0.7" right="0.7" top="0.75" bottom="0.75" header="0.3" footer="0.3"/>
  <pageSetup scale="8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1">
    <pageSetUpPr fitToPage="1"/>
  </sheetPr>
  <dimension ref="A1:Y58"/>
  <sheetViews>
    <sheetView zoomScale="70" zoomScaleNormal="70" workbookViewId="0">
      <pane ySplit="960" activePane="bottomLeft"/>
      <selection pane="bottomLeft" activeCell="H12" sqref="H12"/>
    </sheetView>
  </sheetViews>
  <sheetFormatPr baseColWidth="10" defaultColWidth="9.1640625" defaultRowHeight="14" x14ac:dyDescent="0.15"/>
  <cols>
    <col min="1" max="1" width="9.1640625" style="103"/>
    <col min="2" max="2" width="6.1640625" style="103" customWidth="1"/>
    <col min="3" max="3" width="17" style="103" customWidth="1"/>
    <col min="4" max="11" width="12.6640625" style="103" customWidth="1"/>
    <col min="12" max="15" width="13.33203125" style="103" customWidth="1"/>
    <col min="16" max="18" width="14.33203125" style="103" customWidth="1"/>
    <col min="19" max="19" width="15.6640625" style="103" customWidth="1"/>
    <col min="20" max="23" width="14.6640625" style="103" customWidth="1"/>
    <col min="24" max="16384" width="9.1640625" style="103"/>
  </cols>
  <sheetData>
    <row r="1" spans="1:23" s="96" customFormat="1" ht="18" x14ac:dyDescent="0.2">
      <c r="A1" s="94" t="s">
        <v>125</v>
      </c>
      <c r="B1" s="95"/>
      <c r="C1" s="95"/>
      <c r="D1" s="188">
        <v>2015</v>
      </c>
      <c r="E1" s="189"/>
      <c r="F1" s="189"/>
      <c r="G1" s="190"/>
      <c r="H1" s="189">
        <v>2016</v>
      </c>
      <c r="I1" s="189"/>
      <c r="J1" s="189"/>
      <c r="K1" s="189"/>
      <c r="L1" s="188">
        <v>2017</v>
      </c>
      <c r="M1" s="189"/>
      <c r="N1" s="189"/>
      <c r="O1" s="190"/>
      <c r="P1" s="189">
        <v>2018</v>
      </c>
      <c r="Q1" s="189"/>
      <c r="R1" s="189"/>
      <c r="S1" s="189"/>
      <c r="T1" s="188">
        <v>2019</v>
      </c>
      <c r="U1" s="189"/>
      <c r="V1" s="189"/>
      <c r="W1" s="190"/>
    </row>
    <row r="2" spans="1:23" s="96" customFormat="1" ht="18" x14ac:dyDescent="0.2">
      <c r="A2" s="97"/>
      <c r="B2" s="98"/>
      <c r="C2" s="98" t="s">
        <v>114</v>
      </c>
      <c r="D2" s="149">
        <v>1</v>
      </c>
      <c r="E2" s="150">
        <v>2</v>
      </c>
      <c r="F2" s="150">
        <v>3</v>
      </c>
      <c r="G2" s="151">
        <v>4</v>
      </c>
      <c r="H2" s="155">
        <v>1</v>
      </c>
      <c r="I2" s="150">
        <v>2</v>
      </c>
      <c r="J2" s="150">
        <v>3</v>
      </c>
      <c r="K2" s="156">
        <v>4</v>
      </c>
      <c r="L2" s="149">
        <v>1</v>
      </c>
      <c r="M2" s="150">
        <v>2</v>
      </c>
      <c r="N2" s="150">
        <v>3</v>
      </c>
      <c r="O2" s="151">
        <v>4</v>
      </c>
      <c r="P2" s="155">
        <v>1</v>
      </c>
      <c r="Q2" s="150">
        <v>2</v>
      </c>
      <c r="R2" s="150">
        <v>3</v>
      </c>
      <c r="S2" s="156">
        <v>4</v>
      </c>
      <c r="T2" s="149">
        <v>1</v>
      </c>
      <c r="U2" s="150">
        <v>2</v>
      </c>
      <c r="V2" s="150">
        <v>3</v>
      </c>
      <c r="W2" s="151">
        <v>4</v>
      </c>
    </row>
    <row r="3" spans="1:23" s="96" customFormat="1" ht="19" thickBot="1" x14ac:dyDescent="0.25">
      <c r="A3" s="147"/>
      <c r="B3" s="148"/>
      <c r="C3" s="148" t="s">
        <v>50</v>
      </c>
      <c r="D3" s="152">
        <v>63</v>
      </c>
      <c r="E3" s="153">
        <v>64</v>
      </c>
      <c r="F3" s="153">
        <v>64</v>
      </c>
      <c r="G3" s="154">
        <v>63</v>
      </c>
      <c r="H3" s="157">
        <v>64</v>
      </c>
      <c r="I3" s="153">
        <v>64</v>
      </c>
      <c r="J3" s="153">
        <v>65</v>
      </c>
      <c r="K3" s="158">
        <v>63</v>
      </c>
      <c r="L3" s="152">
        <f>22+20+22</f>
        <v>64</v>
      </c>
      <c r="M3" s="153">
        <f>20+23+22</f>
        <v>65</v>
      </c>
      <c r="N3" s="153">
        <f>20+23+21</f>
        <v>64</v>
      </c>
      <c r="O3" s="154">
        <f>22+21+20</f>
        <v>63</v>
      </c>
      <c r="P3" s="157">
        <f>22+20+22</f>
        <v>64</v>
      </c>
      <c r="Q3" s="153">
        <f>21+22+21</f>
        <v>64</v>
      </c>
      <c r="R3" s="153">
        <f>21+23+20</f>
        <v>64</v>
      </c>
      <c r="S3" s="158">
        <f>22+21+20</f>
        <v>63</v>
      </c>
      <c r="T3" s="159">
        <f>22+20+21</f>
        <v>63</v>
      </c>
      <c r="U3" s="160">
        <f>22+23+20</f>
        <v>65</v>
      </c>
      <c r="V3" s="160">
        <f>21+22+21</f>
        <v>64</v>
      </c>
      <c r="W3" s="161">
        <f>23+20+21</f>
        <v>64</v>
      </c>
    </row>
    <row r="4" spans="1:23" x14ac:dyDescent="0.15">
      <c r="A4" s="99" t="s">
        <v>108</v>
      </c>
      <c r="B4" s="100"/>
      <c r="C4" s="100"/>
      <c r="D4" s="101"/>
      <c r="E4" s="100"/>
      <c r="F4" s="100"/>
      <c r="G4" s="102"/>
      <c r="H4" s="100"/>
      <c r="I4" s="100"/>
      <c r="J4" s="100"/>
      <c r="K4" s="100"/>
      <c r="L4" s="101"/>
      <c r="M4" s="100"/>
      <c r="N4" s="100"/>
      <c r="O4" s="102"/>
      <c r="P4" s="100"/>
      <c r="Q4" s="100"/>
      <c r="R4" s="100"/>
      <c r="S4" s="100"/>
      <c r="T4" s="101"/>
      <c r="U4" s="100"/>
      <c r="V4" s="100"/>
      <c r="W4" s="102"/>
    </row>
    <row r="5" spans="1:23" x14ac:dyDescent="0.15">
      <c r="A5" s="101" t="s">
        <v>29</v>
      </c>
      <c r="B5" s="100"/>
      <c r="C5" s="100"/>
      <c r="D5" s="101"/>
      <c r="E5" s="100"/>
      <c r="F5" s="100"/>
      <c r="G5" s="102"/>
      <c r="H5" s="100"/>
      <c r="I5" s="100"/>
      <c r="J5" s="100"/>
      <c r="K5" s="100"/>
      <c r="L5" s="101"/>
      <c r="M5" s="100"/>
      <c r="N5" s="100"/>
      <c r="O5" s="102"/>
      <c r="P5" s="100"/>
      <c r="Q5" s="100"/>
      <c r="R5" s="100"/>
      <c r="S5" s="100"/>
      <c r="T5" s="101"/>
      <c r="U5" s="100"/>
      <c r="V5" s="100"/>
      <c r="W5" s="102"/>
    </row>
    <row r="6" spans="1:23" x14ac:dyDescent="0.15">
      <c r="A6" s="101"/>
      <c r="B6" s="100" t="s">
        <v>111</v>
      </c>
      <c r="C6" s="100"/>
      <c r="D6" s="104">
        <v>26560.260000000002</v>
      </c>
      <c r="E6" s="105">
        <v>27419.21</v>
      </c>
      <c r="F6" s="105">
        <v>26647.57</v>
      </c>
      <c r="G6" s="106">
        <v>24841.03</v>
      </c>
      <c r="H6" s="105">
        <v>15277.400000000001</v>
      </c>
      <c r="I6" s="105">
        <v>0</v>
      </c>
      <c r="J6" s="163">
        <v>0</v>
      </c>
      <c r="K6" s="163">
        <v>0</v>
      </c>
      <c r="L6" s="164">
        <v>0</v>
      </c>
      <c r="M6" s="163">
        <v>0</v>
      </c>
      <c r="N6" s="163">
        <v>0</v>
      </c>
      <c r="O6" s="165">
        <v>0</v>
      </c>
      <c r="P6" s="163">
        <v>0</v>
      </c>
      <c r="Q6" s="163">
        <v>0</v>
      </c>
      <c r="R6" s="163">
        <v>0</v>
      </c>
      <c r="S6" s="163">
        <v>0</v>
      </c>
      <c r="T6" s="164">
        <v>0</v>
      </c>
      <c r="U6" s="163">
        <v>0</v>
      </c>
      <c r="V6" s="163">
        <v>0</v>
      </c>
      <c r="W6" s="165">
        <v>0</v>
      </c>
    </row>
    <row r="7" spans="1:23" x14ac:dyDescent="0.15">
      <c r="A7" s="101"/>
      <c r="B7" s="100" t="s">
        <v>31</v>
      </c>
      <c r="C7" s="100"/>
      <c r="D7" s="104">
        <v>6640.07</v>
      </c>
      <c r="E7" s="105">
        <v>6854.8099999999995</v>
      </c>
      <c r="F7" s="105">
        <v>6661.8899999999994</v>
      </c>
      <c r="G7" s="106">
        <v>6210.25</v>
      </c>
      <c r="H7" s="105">
        <v>0</v>
      </c>
      <c r="I7" s="105">
        <v>0</v>
      </c>
      <c r="J7" s="105">
        <v>0</v>
      </c>
      <c r="K7" s="105">
        <v>0</v>
      </c>
      <c r="L7" s="104">
        <v>0</v>
      </c>
      <c r="M7" s="105">
        <v>0</v>
      </c>
      <c r="N7" s="105">
        <v>0</v>
      </c>
      <c r="O7" s="106">
        <v>0</v>
      </c>
      <c r="P7" s="105">
        <v>0</v>
      </c>
      <c r="Q7" s="105">
        <v>0</v>
      </c>
      <c r="R7" s="105">
        <v>0</v>
      </c>
      <c r="S7" s="105">
        <v>0</v>
      </c>
      <c r="T7" s="104">
        <v>0</v>
      </c>
      <c r="U7" s="105">
        <v>0</v>
      </c>
      <c r="V7" s="105">
        <v>0</v>
      </c>
      <c r="W7" s="106">
        <v>0</v>
      </c>
    </row>
    <row r="8" spans="1:23" x14ac:dyDescent="0.15">
      <c r="A8" s="101"/>
      <c r="B8" s="100" t="s">
        <v>103</v>
      </c>
      <c r="C8" s="100"/>
      <c r="D8" s="104"/>
      <c r="E8" s="105"/>
      <c r="F8" s="105"/>
      <c r="G8" s="106"/>
      <c r="H8" s="105">
        <v>15000</v>
      </c>
      <c r="I8" s="105">
        <v>15000</v>
      </c>
      <c r="J8" s="105">
        <v>15000</v>
      </c>
      <c r="K8" s="105">
        <v>15000</v>
      </c>
      <c r="L8" s="104"/>
      <c r="M8" s="105"/>
      <c r="N8" s="105"/>
      <c r="O8" s="106"/>
      <c r="P8" s="105"/>
      <c r="Q8" s="105"/>
      <c r="R8" s="105"/>
      <c r="S8" s="105"/>
      <c r="T8" s="104"/>
      <c r="U8" s="105"/>
      <c r="V8" s="105"/>
      <c r="W8" s="106"/>
    </row>
    <row r="9" spans="1:23" x14ac:dyDescent="0.15">
      <c r="A9" s="101"/>
      <c r="B9" s="100" t="s">
        <v>115</v>
      </c>
      <c r="C9" s="100"/>
      <c r="D9" s="104"/>
      <c r="E9" s="105"/>
      <c r="F9" s="105"/>
      <c r="G9" s="106"/>
      <c r="H9" s="105"/>
      <c r="I9" s="105"/>
      <c r="J9" s="105"/>
      <c r="K9" s="105"/>
      <c r="L9" s="104"/>
      <c r="M9" s="105"/>
      <c r="N9" s="105"/>
      <c r="O9" s="106"/>
      <c r="P9" s="105"/>
      <c r="Q9" s="105"/>
      <c r="R9" s="105"/>
      <c r="S9" s="105"/>
      <c r="T9" s="104"/>
      <c r="U9" s="105"/>
      <c r="V9" s="105"/>
      <c r="W9" s="106"/>
    </row>
    <row r="10" spans="1:23" x14ac:dyDescent="0.15">
      <c r="A10" s="101"/>
      <c r="B10" s="100" t="s">
        <v>38</v>
      </c>
      <c r="C10" s="100"/>
      <c r="D10" s="104">
        <v>5219.59</v>
      </c>
      <c r="E10" s="105">
        <v>4755.74</v>
      </c>
      <c r="F10" s="105">
        <v>5720.2992000000013</v>
      </c>
      <c r="G10" s="106">
        <v>7368.6315818181829</v>
      </c>
      <c r="H10" s="105">
        <v>5267.3314155844164</v>
      </c>
      <c r="I10" s="105">
        <v>4759.4000454545467</v>
      </c>
      <c r="J10" s="105">
        <v>5805.6768000000011</v>
      </c>
      <c r="K10" s="105">
        <v>7374.7299818181818</v>
      </c>
      <c r="L10" s="104">
        <v>7374.7299818181818</v>
      </c>
      <c r="M10" s="105">
        <v>7374.7299818181818</v>
      </c>
      <c r="N10" s="105">
        <v>7374.7299818181818</v>
      </c>
      <c r="O10" s="106">
        <v>7374.7299818181818</v>
      </c>
      <c r="P10" s="105">
        <v>7374.7299818181818</v>
      </c>
      <c r="Q10" s="105">
        <v>7374.7299818181818</v>
      </c>
      <c r="R10" s="105">
        <v>7374.7299818181818</v>
      </c>
      <c r="S10" s="105">
        <v>7374.7299818181818</v>
      </c>
      <c r="T10" s="104">
        <v>7374.72998181818</v>
      </c>
      <c r="U10" s="105">
        <v>7374.72998181818</v>
      </c>
      <c r="V10" s="105">
        <v>7374.72998181818</v>
      </c>
      <c r="W10" s="106">
        <v>7374.72998181818</v>
      </c>
    </row>
    <row r="11" spans="1:23" x14ac:dyDescent="0.15">
      <c r="A11" s="101"/>
      <c r="B11" s="100"/>
      <c r="C11" s="100" t="s">
        <v>51</v>
      </c>
      <c r="D11" s="104"/>
      <c r="E11" s="105"/>
      <c r="F11" s="105"/>
      <c r="G11" s="106"/>
      <c r="H11" s="105"/>
      <c r="I11" s="105"/>
      <c r="J11" s="105"/>
      <c r="K11" s="105"/>
      <c r="L11" s="107">
        <v>7.2111038174898501E-2</v>
      </c>
      <c r="M11" s="108">
        <v>0.24086763942761508</v>
      </c>
      <c r="N11" s="108">
        <v>0.27904291967084677</v>
      </c>
      <c r="O11" s="109">
        <v>0.32960084826994224</v>
      </c>
      <c r="P11" s="108">
        <v>7.2111038174898501E-2</v>
      </c>
      <c r="Q11" s="108">
        <v>0.24086763942761508</v>
      </c>
      <c r="R11" s="108">
        <v>0.27904291967084677</v>
      </c>
      <c r="S11" s="108">
        <v>0.32960084826994224</v>
      </c>
      <c r="T11" s="107">
        <v>0.43306678901791601</v>
      </c>
      <c r="U11" s="108">
        <v>0.51413126007075305</v>
      </c>
      <c r="V11" s="108">
        <v>0.59519573112358903</v>
      </c>
      <c r="W11" s="109">
        <v>0.67626020217642502</v>
      </c>
    </row>
    <row r="12" spans="1:23" x14ac:dyDescent="0.15">
      <c r="A12" s="101"/>
      <c r="B12" s="100" t="s">
        <v>59</v>
      </c>
      <c r="C12" s="100"/>
      <c r="D12" s="104"/>
      <c r="E12" s="105"/>
      <c r="F12" s="105"/>
      <c r="G12" s="106"/>
      <c r="H12" s="105">
        <v>12500</v>
      </c>
      <c r="I12" s="105"/>
      <c r="J12" s="105"/>
      <c r="K12" s="105"/>
      <c r="L12" s="101"/>
      <c r="M12" s="100"/>
      <c r="N12" s="100"/>
      <c r="O12" s="102"/>
      <c r="P12" s="100"/>
      <c r="Q12" s="100"/>
      <c r="R12" s="100"/>
      <c r="S12" s="100"/>
      <c r="T12" s="101"/>
      <c r="U12" s="100"/>
      <c r="V12" s="100"/>
      <c r="W12" s="102"/>
    </row>
    <row r="13" spans="1:23" x14ac:dyDescent="0.15">
      <c r="A13" s="101"/>
      <c r="B13" s="100" t="s">
        <v>60</v>
      </c>
      <c r="C13" s="100"/>
      <c r="D13" s="104"/>
      <c r="E13" s="105"/>
      <c r="F13" s="105"/>
      <c r="G13" s="106"/>
      <c r="H13" s="105">
        <v>25000</v>
      </c>
      <c r="I13" s="105"/>
      <c r="J13" s="105"/>
      <c r="K13" s="105"/>
      <c r="L13" s="101"/>
      <c r="M13" s="100"/>
      <c r="N13" s="100"/>
      <c r="O13" s="102"/>
      <c r="P13" s="100"/>
      <c r="Q13" s="100"/>
      <c r="R13" s="100"/>
      <c r="S13" s="100"/>
      <c r="T13" s="101"/>
      <c r="U13" s="100"/>
      <c r="V13" s="100"/>
      <c r="W13" s="102"/>
    </row>
    <row r="14" spans="1:23" x14ac:dyDescent="0.15">
      <c r="A14" s="101"/>
      <c r="B14" s="100" t="s">
        <v>109</v>
      </c>
      <c r="C14" s="100"/>
      <c r="D14" s="104">
        <f>SUM(D6:D13)</f>
        <v>38419.919999999998</v>
      </c>
      <c r="E14" s="105">
        <f t="shared" ref="E14:W14" si="0">SUM(E6:E13)</f>
        <v>39029.759999999995</v>
      </c>
      <c r="F14" s="105">
        <f t="shared" si="0"/>
        <v>39029.7592</v>
      </c>
      <c r="G14" s="106">
        <f t="shared" si="0"/>
        <v>38419.911581818182</v>
      </c>
      <c r="H14" s="105">
        <f t="shared" si="0"/>
        <v>73044.731415584421</v>
      </c>
      <c r="I14" s="105">
        <f t="shared" si="0"/>
        <v>19759.400045454546</v>
      </c>
      <c r="J14" s="105">
        <f t="shared" si="0"/>
        <v>20805.676800000001</v>
      </c>
      <c r="K14" s="105">
        <f t="shared" si="0"/>
        <v>22374.729981818182</v>
      </c>
      <c r="L14" s="104">
        <f t="shared" si="0"/>
        <v>7374.8020928563565</v>
      </c>
      <c r="M14" s="105">
        <f t="shared" si="0"/>
        <v>7374.9708494576098</v>
      </c>
      <c r="N14" s="105">
        <f t="shared" si="0"/>
        <v>7375.009024737853</v>
      </c>
      <c r="O14" s="106">
        <f t="shared" si="0"/>
        <v>7375.0595826664521</v>
      </c>
      <c r="P14" s="105">
        <f t="shared" si="0"/>
        <v>7374.8020928563565</v>
      </c>
      <c r="Q14" s="105">
        <f t="shared" si="0"/>
        <v>7374.9708494576098</v>
      </c>
      <c r="R14" s="105">
        <f t="shared" si="0"/>
        <v>7375.009024737853</v>
      </c>
      <c r="S14" s="105">
        <f t="shared" si="0"/>
        <v>7375.0595826664521</v>
      </c>
      <c r="T14" s="104">
        <f t="shared" si="0"/>
        <v>7375.1630486071981</v>
      </c>
      <c r="U14" s="105">
        <f t="shared" si="0"/>
        <v>7375.2441130782508</v>
      </c>
      <c r="V14" s="105">
        <f t="shared" si="0"/>
        <v>7375.3251775493036</v>
      </c>
      <c r="W14" s="106">
        <f t="shared" si="0"/>
        <v>7375.4062420203563</v>
      </c>
    </row>
    <row r="15" spans="1:23" x14ac:dyDescent="0.15">
      <c r="A15" s="101"/>
      <c r="B15" s="100"/>
      <c r="C15" s="100"/>
      <c r="D15" s="104"/>
      <c r="E15" s="105"/>
      <c r="F15" s="105"/>
      <c r="G15" s="106"/>
      <c r="H15" s="105"/>
      <c r="I15" s="105"/>
      <c r="J15" s="105"/>
      <c r="K15" s="105"/>
      <c r="L15" s="101"/>
      <c r="M15" s="100"/>
      <c r="N15" s="100"/>
      <c r="O15" s="102"/>
      <c r="P15" s="100"/>
      <c r="Q15" s="100"/>
      <c r="R15" s="100"/>
      <c r="S15" s="100"/>
      <c r="T15" s="101"/>
      <c r="U15" s="100"/>
      <c r="V15" s="100"/>
      <c r="W15" s="102"/>
    </row>
    <row r="16" spans="1:23" x14ac:dyDescent="0.15">
      <c r="A16" s="101" t="s">
        <v>32</v>
      </c>
      <c r="B16" s="100"/>
      <c r="C16" s="100"/>
      <c r="D16" s="104"/>
      <c r="E16" s="105"/>
      <c r="F16" s="105"/>
      <c r="G16" s="106"/>
      <c r="H16" s="105"/>
      <c r="I16" s="105"/>
      <c r="J16" s="105"/>
      <c r="K16" s="105"/>
      <c r="L16" s="101"/>
      <c r="M16" s="100"/>
      <c r="N16" s="100"/>
      <c r="O16" s="102"/>
      <c r="P16" s="100"/>
      <c r="Q16" s="100"/>
      <c r="R16" s="100"/>
      <c r="S16" s="100"/>
      <c r="T16" s="101"/>
      <c r="U16" s="100"/>
      <c r="V16" s="100"/>
      <c r="W16" s="102"/>
    </row>
    <row r="17" spans="1:25" x14ac:dyDescent="0.15">
      <c r="A17" s="101"/>
      <c r="B17" s="100" t="s">
        <v>33</v>
      </c>
      <c r="C17" s="100"/>
      <c r="D17" s="104">
        <v>38419.919999999998</v>
      </c>
      <c r="E17" s="105">
        <v>39029.759999999995</v>
      </c>
      <c r="F17" s="105">
        <v>39029.760000000002</v>
      </c>
      <c r="G17" s="106">
        <v>38419.920000000006</v>
      </c>
      <c r="H17" s="105">
        <v>39029.760000000002</v>
      </c>
      <c r="I17" s="105">
        <v>39029.760000000002</v>
      </c>
      <c r="J17" s="105">
        <v>39639.600000000006</v>
      </c>
      <c r="K17" s="110">
        <f>609.84*K3</f>
        <v>38419.920000000006</v>
      </c>
      <c r="L17" s="111">
        <f t="shared" ref="L17:W17" si="1">609.84*L3</f>
        <v>39029.760000000002</v>
      </c>
      <c r="M17" s="110">
        <f t="shared" si="1"/>
        <v>39639.599999999999</v>
      </c>
      <c r="N17" s="110">
        <f t="shared" si="1"/>
        <v>39029.760000000002</v>
      </c>
      <c r="O17" s="112">
        <f t="shared" si="1"/>
        <v>38419.920000000006</v>
      </c>
      <c r="P17" s="110">
        <f t="shared" si="1"/>
        <v>39029.760000000002</v>
      </c>
      <c r="Q17" s="110">
        <f t="shared" si="1"/>
        <v>39029.760000000002</v>
      </c>
      <c r="R17" s="110">
        <f t="shared" si="1"/>
        <v>39029.760000000002</v>
      </c>
      <c r="S17" s="110">
        <f t="shared" si="1"/>
        <v>38419.920000000006</v>
      </c>
      <c r="T17" s="111">
        <f t="shared" si="1"/>
        <v>38419.920000000006</v>
      </c>
      <c r="U17" s="110">
        <f t="shared" si="1"/>
        <v>39639.599999999999</v>
      </c>
      <c r="V17" s="110">
        <f t="shared" si="1"/>
        <v>39029.760000000002</v>
      </c>
      <c r="W17" s="112">
        <f t="shared" si="1"/>
        <v>39029.760000000002</v>
      </c>
      <c r="X17" s="162">
        <v>48.4</v>
      </c>
      <c r="Y17" s="103" t="s">
        <v>119</v>
      </c>
    </row>
    <row r="18" spans="1:25" x14ac:dyDescent="0.15">
      <c r="A18" s="101"/>
      <c r="B18" s="100" t="s">
        <v>110</v>
      </c>
      <c r="C18" s="100"/>
      <c r="D18" s="104">
        <v>0</v>
      </c>
      <c r="E18" s="105">
        <v>0</v>
      </c>
      <c r="F18" s="105">
        <v>0</v>
      </c>
      <c r="G18" s="106">
        <v>0</v>
      </c>
      <c r="H18" s="105">
        <v>0</v>
      </c>
      <c r="I18" s="105">
        <v>0</v>
      </c>
      <c r="J18" s="105">
        <v>0</v>
      </c>
      <c r="K18" s="105">
        <v>0</v>
      </c>
      <c r="L18" s="104">
        <v>0</v>
      </c>
      <c r="M18" s="105">
        <v>0</v>
      </c>
      <c r="N18" s="105">
        <v>0</v>
      </c>
      <c r="O18" s="106">
        <v>0</v>
      </c>
      <c r="P18" s="105">
        <v>0</v>
      </c>
      <c r="Q18" s="105">
        <v>0</v>
      </c>
      <c r="R18" s="105">
        <v>0</v>
      </c>
      <c r="S18" s="105">
        <v>0</v>
      </c>
      <c r="T18" s="104">
        <v>0</v>
      </c>
      <c r="U18" s="105">
        <v>0</v>
      </c>
      <c r="V18" s="105">
        <v>0</v>
      </c>
      <c r="W18" s="106">
        <v>0</v>
      </c>
    </row>
    <row r="19" spans="1:25" x14ac:dyDescent="0.15">
      <c r="A19" s="101"/>
      <c r="B19" s="100" t="s">
        <v>109</v>
      </c>
      <c r="C19" s="100"/>
      <c r="D19" s="104">
        <f t="shared" ref="D19:K19" si="2">SUM(D17:D18)</f>
        <v>38419.919999999998</v>
      </c>
      <c r="E19" s="105">
        <f t="shared" si="2"/>
        <v>39029.759999999995</v>
      </c>
      <c r="F19" s="105">
        <f t="shared" si="2"/>
        <v>39029.760000000002</v>
      </c>
      <c r="G19" s="106">
        <f t="shared" si="2"/>
        <v>38419.920000000006</v>
      </c>
      <c r="H19" s="105">
        <f t="shared" si="2"/>
        <v>39029.760000000002</v>
      </c>
      <c r="I19" s="105">
        <f t="shared" si="2"/>
        <v>39029.760000000002</v>
      </c>
      <c r="J19" s="105">
        <f t="shared" si="2"/>
        <v>39639.600000000006</v>
      </c>
      <c r="K19" s="105">
        <f t="shared" si="2"/>
        <v>38419.920000000006</v>
      </c>
      <c r="L19" s="104">
        <f t="shared" ref="L19:W19" si="3">SUM(L17:L18)</f>
        <v>39029.760000000002</v>
      </c>
      <c r="M19" s="105">
        <f t="shared" si="3"/>
        <v>39639.599999999999</v>
      </c>
      <c r="N19" s="105">
        <f t="shared" si="3"/>
        <v>39029.760000000002</v>
      </c>
      <c r="O19" s="106">
        <f t="shared" si="3"/>
        <v>38419.920000000006</v>
      </c>
      <c r="P19" s="105">
        <f t="shared" si="3"/>
        <v>39029.760000000002</v>
      </c>
      <c r="Q19" s="105">
        <f t="shared" si="3"/>
        <v>39029.760000000002</v>
      </c>
      <c r="R19" s="105">
        <f t="shared" si="3"/>
        <v>39029.760000000002</v>
      </c>
      <c r="S19" s="105">
        <f t="shared" si="3"/>
        <v>38419.920000000006</v>
      </c>
      <c r="T19" s="104">
        <f t="shared" si="3"/>
        <v>38419.920000000006</v>
      </c>
      <c r="U19" s="105">
        <f t="shared" si="3"/>
        <v>39639.599999999999</v>
      </c>
      <c r="V19" s="105">
        <f t="shared" si="3"/>
        <v>39029.760000000002</v>
      </c>
      <c r="W19" s="106">
        <f t="shared" si="3"/>
        <v>39029.760000000002</v>
      </c>
    </row>
    <row r="20" spans="1:25" x14ac:dyDescent="0.15">
      <c r="A20" s="101"/>
      <c r="B20" s="100"/>
      <c r="C20" s="100"/>
      <c r="D20" s="104"/>
      <c r="E20" s="105"/>
      <c r="F20" s="105"/>
      <c r="G20" s="106"/>
      <c r="H20" s="105"/>
      <c r="I20" s="105"/>
      <c r="J20" s="105"/>
      <c r="K20" s="105"/>
      <c r="L20" s="101"/>
      <c r="M20" s="100"/>
      <c r="N20" s="100"/>
      <c r="O20" s="102"/>
      <c r="P20" s="100"/>
      <c r="Q20" s="100"/>
      <c r="R20" s="100"/>
      <c r="S20" s="100"/>
      <c r="T20" s="101"/>
      <c r="U20" s="100"/>
      <c r="V20" s="100"/>
      <c r="W20" s="102"/>
    </row>
    <row r="21" spans="1:25" x14ac:dyDescent="0.15">
      <c r="A21" s="101" t="s">
        <v>52</v>
      </c>
      <c r="B21" s="100"/>
      <c r="C21" s="100"/>
      <c r="D21" s="104">
        <v>0</v>
      </c>
      <c r="E21" s="105">
        <v>66766</v>
      </c>
      <c r="F21" s="105">
        <v>40118.43</v>
      </c>
      <c r="G21" s="106">
        <v>15277.400000000001</v>
      </c>
      <c r="H21" s="105">
        <v>0</v>
      </c>
      <c r="I21" s="105">
        <v>0</v>
      </c>
      <c r="J21" s="105">
        <v>0</v>
      </c>
      <c r="K21" s="105">
        <v>0</v>
      </c>
      <c r="L21" s="104">
        <v>0</v>
      </c>
      <c r="M21" s="105">
        <v>0</v>
      </c>
      <c r="N21" s="105">
        <v>0</v>
      </c>
      <c r="O21" s="106">
        <v>0</v>
      </c>
      <c r="P21" s="105">
        <v>0</v>
      </c>
      <c r="Q21" s="105">
        <v>0</v>
      </c>
      <c r="R21" s="105">
        <v>0</v>
      </c>
      <c r="S21" s="105">
        <v>0</v>
      </c>
      <c r="T21" s="104">
        <v>0</v>
      </c>
      <c r="U21" s="105">
        <v>0</v>
      </c>
      <c r="V21" s="105">
        <v>0</v>
      </c>
      <c r="W21" s="106">
        <v>0</v>
      </c>
    </row>
    <row r="22" spans="1:25" x14ac:dyDescent="0.15">
      <c r="A22" s="101" t="s">
        <v>102</v>
      </c>
      <c r="B22" s="100"/>
      <c r="C22" s="100"/>
      <c r="D22" s="104">
        <v>0</v>
      </c>
      <c r="E22" s="105">
        <v>16692</v>
      </c>
      <c r="F22" s="105">
        <v>10030.11</v>
      </c>
      <c r="G22" s="106"/>
      <c r="H22" s="105">
        <v>0</v>
      </c>
      <c r="I22" s="105">
        <v>0</v>
      </c>
      <c r="J22" s="105">
        <v>0</v>
      </c>
      <c r="K22" s="105">
        <v>0</v>
      </c>
      <c r="L22" s="104">
        <v>0</v>
      </c>
      <c r="M22" s="105">
        <v>0</v>
      </c>
      <c r="N22" s="105">
        <v>0</v>
      </c>
      <c r="O22" s="106">
        <v>0</v>
      </c>
      <c r="P22" s="105">
        <v>0</v>
      </c>
      <c r="Q22" s="105">
        <v>0</v>
      </c>
      <c r="R22" s="105">
        <v>0</v>
      </c>
      <c r="S22" s="105">
        <v>0</v>
      </c>
      <c r="T22" s="104">
        <v>0</v>
      </c>
      <c r="U22" s="105">
        <v>0</v>
      </c>
      <c r="V22" s="105">
        <v>0</v>
      </c>
      <c r="W22" s="106">
        <v>0</v>
      </c>
    </row>
    <row r="23" spans="1:25" x14ac:dyDescent="0.15">
      <c r="A23" s="113" t="s">
        <v>121</v>
      </c>
      <c r="B23" s="114"/>
      <c r="C23" s="114"/>
      <c r="D23" s="113"/>
      <c r="E23" s="115"/>
      <c r="F23" s="115">
        <f>ROUND(E23+F14-F19,0)</f>
        <v>0</v>
      </c>
      <c r="G23" s="116">
        <f>ROUND(F23+G14-G19,0)</f>
        <v>0</v>
      </c>
      <c r="H23" s="115">
        <f t="shared" ref="H23:W23" si="4">G23+H14-H19</f>
        <v>34014.971415584419</v>
      </c>
      <c r="I23" s="115">
        <f t="shared" si="4"/>
        <v>14744.611461038963</v>
      </c>
      <c r="J23" s="115">
        <f t="shared" si="4"/>
        <v>-4089.3117389610416</v>
      </c>
      <c r="K23" s="115">
        <f t="shared" si="4"/>
        <v>-20134.501757142865</v>
      </c>
      <c r="L23" s="117">
        <f t="shared" si="4"/>
        <v>-51789.459664286507</v>
      </c>
      <c r="M23" s="115">
        <f t="shared" si="4"/>
        <v>-84054.088814828894</v>
      </c>
      <c r="N23" s="115">
        <f t="shared" si="4"/>
        <v>-115708.83979009103</v>
      </c>
      <c r="O23" s="116">
        <f t="shared" si="4"/>
        <v>-146753.70020742458</v>
      </c>
      <c r="P23" s="115">
        <f t="shared" si="4"/>
        <v>-178408.65811456824</v>
      </c>
      <c r="Q23" s="115">
        <f t="shared" si="4"/>
        <v>-210063.44726511065</v>
      </c>
      <c r="R23" s="115">
        <f t="shared" si="4"/>
        <v>-241718.19824037282</v>
      </c>
      <c r="S23" s="115">
        <f t="shared" si="4"/>
        <v>-272763.05865770637</v>
      </c>
      <c r="T23" s="117">
        <f t="shared" si="4"/>
        <v>-303807.81560909917</v>
      </c>
      <c r="U23" s="115">
        <f t="shared" si="4"/>
        <v>-336072.17149602092</v>
      </c>
      <c r="V23" s="115">
        <f t="shared" si="4"/>
        <v>-367726.6063184716</v>
      </c>
      <c r="W23" s="116">
        <f t="shared" si="4"/>
        <v>-399380.96007645124</v>
      </c>
    </row>
    <row r="24" spans="1:25" x14ac:dyDescent="0.15">
      <c r="A24" s="101"/>
      <c r="B24" s="100"/>
      <c r="C24" s="100"/>
      <c r="D24" s="101"/>
      <c r="E24" s="100"/>
      <c r="F24" s="100"/>
      <c r="G24" s="102"/>
      <c r="H24" s="100"/>
      <c r="I24" s="100"/>
      <c r="J24" s="100"/>
      <c r="K24" s="100"/>
      <c r="L24" s="101"/>
      <c r="M24" s="100"/>
      <c r="N24" s="100"/>
      <c r="O24" s="102"/>
      <c r="P24" s="100"/>
      <c r="Q24" s="100"/>
      <c r="R24" s="100"/>
      <c r="S24" s="100"/>
      <c r="T24" s="101"/>
      <c r="U24" s="100"/>
      <c r="V24" s="100"/>
      <c r="W24" s="102"/>
    </row>
    <row r="25" spans="1:25" x14ac:dyDescent="0.15">
      <c r="A25" s="118" t="s">
        <v>112</v>
      </c>
      <c r="B25" s="119"/>
      <c r="C25" s="119"/>
      <c r="D25" s="120"/>
      <c r="E25" s="119"/>
      <c r="F25" s="119"/>
      <c r="G25" s="121"/>
      <c r="H25" s="119"/>
      <c r="I25" s="119"/>
      <c r="J25" s="119"/>
      <c r="K25" s="119"/>
      <c r="L25" s="120"/>
      <c r="M25" s="119"/>
      <c r="N25" s="119"/>
      <c r="O25" s="121"/>
      <c r="P25" s="119"/>
      <c r="Q25" s="119"/>
      <c r="R25" s="139"/>
      <c r="S25" s="119"/>
      <c r="T25" s="120"/>
      <c r="U25" s="119"/>
      <c r="V25" s="139"/>
      <c r="W25" s="122"/>
    </row>
    <row r="26" spans="1:25" x14ac:dyDescent="0.15">
      <c r="A26" s="123"/>
      <c r="B26" s="100" t="s">
        <v>30</v>
      </c>
      <c r="C26" s="100"/>
      <c r="D26" s="101"/>
      <c r="E26" s="100"/>
      <c r="F26" s="110">
        <f t="shared" ref="F26:W26" si="5">IF(ROUND(0.8*(F33-F29),2)&lt;E37,ROUND(0.8*(F33-F29),2),E37)</f>
        <v>29698.1</v>
      </c>
      <c r="G26" s="112">
        <f t="shared" si="5"/>
        <v>29234.07</v>
      </c>
      <c r="H26" s="110">
        <f t="shared" si="5"/>
        <v>29098.14</v>
      </c>
      <c r="I26" s="110">
        <f t="shared" si="5"/>
        <v>26998.27</v>
      </c>
      <c r="J26" s="110">
        <f t="shared" si="5"/>
        <v>27420.12</v>
      </c>
      <c r="K26" s="110">
        <f t="shared" si="5"/>
        <v>25985.84</v>
      </c>
      <c r="L26" s="111">
        <f t="shared" si="5"/>
        <v>29098.14</v>
      </c>
      <c r="M26" s="110">
        <f t="shared" si="5"/>
        <v>27420.12</v>
      </c>
      <c r="N26" s="110">
        <f t="shared" si="5"/>
        <v>26998.27</v>
      </c>
      <c r="O26" s="112">
        <f t="shared" si="5"/>
        <v>25985.84</v>
      </c>
      <c r="P26" s="110">
        <f t="shared" si="5"/>
        <v>29098.14</v>
      </c>
      <c r="Q26" s="110">
        <f t="shared" si="5"/>
        <v>26998.27</v>
      </c>
      <c r="R26" s="140">
        <f t="shared" si="5"/>
        <v>25966.680000000011</v>
      </c>
      <c r="S26" s="110">
        <f t="shared" si="5"/>
        <v>0</v>
      </c>
      <c r="T26" s="111">
        <f t="shared" si="5"/>
        <v>0</v>
      </c>
      <c r="U26" s="110">
        <f t="shared" si="5"/>
        <v>0</v>
      </c>
      <c r="V26" s="166">
        <f t="shared" si="5"/>
        <v>0</v>
      </c>
      <c r="W26" s="167">
        <f t="shared" si="5"/>
        <v>0</v>
      </c>
    </row>
    <row r="27" spans="1:25" x14ac:dyDescent="0.15">
      <c r="A27" s="123"/>
      <c r="B27" s="100" t="s">
        <v>113</v>
      </c>
      <c r="C27" s="100"/>
      <c r="D27" s="101"/>
      <c r="E27" s="100"/>
      <c r="F27" s="110">
        <f t="shared" ref="F27:W27" si="6">IF(ROUND(0.2*(F33-F29),2)&lt;E38,ROUND(0.2*(F33-F29),2),E38)</f>
        <v>7424.52</v>
      </c>
      <c r="G27" s="112">
        <f t="shared" si="6"/>
        <v>7308.52</v>
      </c>
      <c r="H27" s="110">
        <f t="shared" si="6"/>
        <v>7274.53</v>
      </c>
      <c r="I27" s="110">
        <f t="shared" si="6"/>
        <v>6749.57</v>
      </c>
      <c r="J27" s="110">
        <f t="shared" si="6"/>
        <v>6855.03</v>
      </c>
      <c r="K27" s="110">
        <f t="shared" si="6"/>
        <v>6496.46</v>
      </c>
      <c r="L27" s="111">
        <f t="shared" si="6"/>
        <v>7274.53</v>
      </c>
      <c r="M27" s="110">
        <f t="shared" si="6"/>
        <v>6855.03</v>
      </c>
      <c r="N27" s="110">
        <f t="shared" si="6"/>
        <v>6749.57</v>
      </c>
      <c r="O27" s="112">
        <f t="shared" si="6"/>
        <v>6496.46</v>
      </c>
      <c r="P27" s="110">
        <f t="shared" si="6"/>
        <v>7274.53</v>
      </c>
      <c r="Q27" s="110">
        <f t="shared" si="6"/>
        <v>6749.57</v>
      </c>
      <c r="R27" s="140">
        <f t="shared" si="6"/>
        <v>6491.68</v>
      </c>
      <c r="S27" s="110">
        <f t="shared" si="6"/>
        <v>0</v>
      </c>
      <c r="T27" s="111">
        <f t="shared" si="6"/>
        <v>0</v>
      </c>
      <c r="U27" s="110">
        <f t="shared" si="6"/>
        <v>0</v>
      </c>
      <c r="V27" s="140">
        <f t="shared" si="6"/>
        <v>0</v>
      </c>
      <c r="W27" s="124">
        <f t="shared" si="6"/>
        <v>0</v>
      </c>
    </row>
    <row r="28" spans="1:25" x14ac:dyDescent="0.15">
      <c r="A28" s="123"/>
      <c r="B28" s="100" t="s">
        <v>80</v>
      </c>
      <c r="C28" s="100"/>
      <c r="D28" s="101"/>
      <c r="E28" s="100"/>
      <c r="F28" s="110"/>
      <c r="G28" s="112"/>
      <c r="H28" s="110"/>
      <c r="I28" s="110"/>
      <c r="J28" s="110"/>
      <c r="K28" s="110"/>
      <c r="L28" s="111"/>
      <c r="M28" s="110"/>
      <c r="N28" s="110"/>
      <c r="O28" s="112"/>
      <c r="P28" s="110"/>
      <c r="Q28" s="110"/>
      <c r="R28" s="140"/>
      <c r="S28" s="110"/>
      <c r="T28" s="111"/>
      <c r="U28" s="110"/>
      <c r="V28" s="140"/>
      <c r="W28" s="124"/>
    </row>
    <row r="29" spans="1:25" x14ac:dyDescent="0.15">
      <c r="A29" s="123"/>
      <c r="B29" s="100" t="s">
        <v>38</v>
      </c>
      <c r="C29" s="100"/>
      <c r="D29" s="101"/>
      <c r="E29" s="100"/>
      <c r="F29" s="110">
        <f>F30*F33</f>
        <v>374.97600000000006</v>
      </c>
      <c r="G29" s="112">
        <f>G30*G33</f>
        <v>369.11700000000013</v>
      </c>
      <c r="H29" s="110">
        <f>H30*H33</f>
        <v>1124.9280000000001</v>
      </c>
      <c r="I29" s="110">
        <f>I30*I33</f>
        <v>3749.7600000000007</v>
      </c>
      <c r="J29" s="110">
        <f t="shared" ref="J29:W29" si="7">J30*J33</f>
        <v>3808.3500000000004</v>
      </c>
      <c r="K29" s="110">
        <f t="shared" si="7"/>
        <v>4429.4040000000014</v>
      </c>
      <c r="L29" s="111">
        <f t="shared" si="7"/>
        <v>1124.9280000000001</v>
      </c>
      <c r="M29" s="110">
        <f t="shared" si="7"/>
        <v>3808.3500000000004</v>
      </c>
      <c r="N29" s="110">
        <f t="shared" si="7"/>
        <v>3749.7600000000007</v>
      </c>
      <c r="O29" s="112">
        <f t="shared" si="7"/>
        <v>4429.4040000000014</v>
      </c>
      <c r="P29" s="110">
        <f t="shared" si="7"/>
        <v>1124.9280000000001</v>
      </c>
      <c r="Q29" s="110">
        <f t="shared" si="7"/>
        <v>3749.7600000000007</v>
      </c>
      <c r="R29" s="140">
        <f t="shared" si="7"/>
        <v>3749.7600000000007</v>
      </c>
      <c r="S29" s="110">
        <f t="shared" si="7"/>
        <v>4429.4040000000014</v>
      </c>
      <c r="T29" s="111">
        <f t="shared" si="7"/>
        <v>1107.3510000000003</v>
      </c>
      <c r="U29" s="110">
        <f t="shared" si="7"/>
        <v>3808.3500000000004</v>
      </c>
      <c r="V29" s="140">
        <f t="shared" si="7"/>
        <v>3749.7600000000007</v>
      </c>
      <c r="W29" s="124">
        <f t="shared" si="7"/>
        <v>4499.7120000000004</v>
      </c>
    </row>
    <row r="30" spans="1:25" x14ac:dyDescent="0.15">
      <c r="A30" s="123"/>
      <c r="B30" s="100"/>
      <c r="C30" s="100" t="s">
        <v>51</v>
      </c>
      <c r="D30" s="101"/>
      <c r="E30" s="100"/>
      <c r="F30" s="108">
        <v>0.01</v>
      </c>
      <c r="G30" s="109">
        <v>0.01</v>
      </c>
      <c r="H30" s="108">
        <v>0.03</v>
      </c>
      <c r="I30" s="108">
        <v>0.1</v>
      </c>
      <c r="J30" s="108">
        <v>0.1</v>
      </c>
      <c r="K30" s="108">
        <v>0.12</v>
      </c>
      <c r="L30" s="107">
        <v>0.03</v>
      </c>
      <c r="M30" s="108">
        <v>0.1</v>
      </c>
      <c r="N30" s="108">
        <v>0.1</v>
      </c>
      <c r="O30" s="109">
        <v>0.12</v>
      </c>
      <c r="P30" s="108">
        <v>0.03</v>
      </c>
      <c r="Q30" s="108">
        <v>0.1</v>
      </c>
      <c r="R30" s="141">
        <v>0.1</v>
      </c>
      <c r="S30" s="108">
        <v>0.12</v>
      </c>
      <c r="T30" s="107">
        <v>0.03</v>
      </c>
      <c r="U30" s="108">
        <v>0.1</v>
      </c>
      <c r="V30" s="141">
        <v>0.1</v>
      </c>
      <c r="W30" s="125">
        <v>0.12</v>
      </c>
    </row>
    <row r="31" spans="1:25" x14ac:dyDescent="0.15">
      <c r="A31" s="123"/>
      <c r="B31" s="100" t="s">
        <v>109</v>
      </c>
      <c r="C31" s="100"/>
      <c r="D31" s="101"/>
      <c r="E31" s="100"/>
      <c r="F31" s="105">
        <f>SUM(F26:F29)</f>
        <v>37497.595999999998</v>
      </c>
      <c r="G31" s="106">
        <f t="shared" ref="G31:W31" si="8">SUM(G26:G29)</f>
        <v>36911.706999999995</v>
      </c>
      <c r="H31" s="105">
        <f t="shared" si="8"/>
        <v>37497.597999999998</v>
      </c>
      <c r="I31" s="105">
        <f t="shared" si="8"/>
        <v>37497.599999999999</v>
      </c>
      <c r="J31" s="105">
        <f t="shared" si="8"/>
        <v>38083.5</v>
      </c>
      <c r="K31" s="105">
        <f t="shared" si="8"/>
        <v>36911.703999999998</v>
      </c>
      <c r="L31" s="104">
        <f t="shared" si="8"/>
        <v>37497.597999999998</v>
      </c>
      <c r="M31" s="105">
        <f t="shared" si="8"/>
        <v>38083.5</v>
      </c>
      <c r="N31" s="105">
        <f t="shared" si="8"/>
        <v>37497.599999999999</v>
      </c>
      <c r="O31" s="106">
        <f t="shared" si="8"/>
        <v>36911.703999999998</v>
      </c>
      <c r="P31" s="105">
        <f t="shared" si="8"/>
        <v>37497.597999999998</v>
      </c>
      <c r="Q31" s="105">
        <f t="shared" si="8"/>
        <v>37497.599999999999</v>
      </c>
      <c r="R31" s="142">
        <f t="shared" si="8"/>
        <v>36208.12000000001</v>
      </c>
      <c r="S31" s="105">
        <f t="shared" si="8"/>
        <v>4429.4040000000014</v>
      </c>
      <c r="T31" s="104">
        <f t="shared" si="8"/>
        <v>1107.3510000000003</v>
      </c>
      <c r="U31" s="105">
        <f t="shared" si="8"/>
        <v>3808.3500000000004</v>
      </c>
      <c r="V31" s="142">
        <f t="shared" si="8"/>
        <v>3749.7600000000007</v>
      </c>
      <c r="W31" s="126">
        <f t="shared" si="8"/>
        <v>4499.7120000000004</v>
      </c>
    </row>
    <row r="32" spans="1:25" x14ac:dyDescent="0.15">
      <c r="A32" s="123"/>
      <c r="B32" s="100"/>
      <c r="C32" s="100"/>
      <c r="D32" s="101"/>
      <c r="E32" s="100"/>
      <c r="F32" s="105"/>
      <c r="G32" s="106"/>
      <c r="H32" s="105"/>
      <c r="I32" s="105"/>
      <c r="J32" s="100"/>
      <c r="K32" s="100"/>
      <c r="L32" s="101"/>
      <c r="M32" s="100"/>
      <c r="N32" s="100"/>
      <c r="O32" s="102"/>
      <c r="P32" s="100"/>
      <c r="Q32" s="100"/>
      <c r="R32" s="143"/>
      <c r="S32" s="100"/>
      <c r="T32" s="101"/>
      <c r="U32" s="100"/>
      <c r="V32" s="143"/>
      <c r="W32" s="127"/>
    </row>
    <row r="33" spans="1:25" x14ac:dyDescent="0.15">
      <c r="A33" s="123"/>
      <c r="B33" s="100" t="s">
        <v>33</v>
      </c>
      <c r="C33" s="100"/>
      <c r="D33" s="101"/>
      <c r="E33" s="100"/>
      <c r="F33" s="110">
        <f t="shared" ref="F33:W33" si="9">609.84*F3*(46.5/48.4)</f>
        <v>37497.600000000006</v>
      </c>
      <c r="G33" s="112">
        <f t="shared" si="9"/>
        <v>36911.700000000012</v>
      </c>
      <c r="H33" s="110">
        <f t="shared" si="9"/>
        <v>37497.600000000006</v>
      </c>
      <c r="I33" s="110">
        <f t="shared" si="9"/>
        <v>37497.600000000006</v>
      </c>
      <c r="J33" s="110">
        <f t="shared" si="9"/>
        <v>38083.5</v>
      </c>
      <c r="K33" s="110">
        <f t="shared" si="9"/>
        <v>36911.700000000012</v>
      </c>
      <c r="L33" s="111">
        <f t="shared" si="9"/>
        <v>37497.600000000006</v>
      </c>
      <c r="M33" s="110">
        <f t="shared" si="9"/>
        <v>38083.5</v>
      </c>
      <c r="N33" s="110">
        <f t="shared" si="9"/>
        <v>37497.600000000006</v>
      </c>
      <c r="O33" s="112">
        <f t="shared" si="9"/>
        <v>36911.700000000012</v>
      </c>
      <c r="P33" s="110">
        <f t="shared" si="9"/>
        <v>37497.600000000006</v>
      </c>
      <c r="Q33" s="110">
        <f t="shared" si="9"/>
        <v>37497.600000000006</v>
      </c>
      <c r="R33" s="140">
        <f t="shared" si="9"/>
        <v>37497.600000000006</v>
      </c>
      <c r="S33" s="110">
        <f t="shared" si="9"/>
        <v>36911.700000000012</v>
      </c>
      <c r="T33" s="111">
        <f t="shared" si="9"/>
        <v>36911.700000000012</v>
      </c>
      <c r="U33" s="110">
        <f t="shared" si="9"/>
        <v>38083.5</v>
      </c>
      <c r="V33" s="140">
        <f t="shared" si="9"/>
        <v>37497.600000000006</v>
      </c>
      <c r="W33" s="124">
        <f t="shared" si="9"/>
        <v>37497.600000000006</v>
      </c>
      <c r="X33" s="162">
        <v>46.5</v>
      </c>
      <c r="Y33" s="103" t="s">
        <v>119</v>
      </c>
    </row>
    <row r="34" spans="1:25" x14ac:dyDescent="0.15">
      <c r="A34" s="123"/>
      <c r="B34" s="100" t="s">
        <v>110</v>
      </c>
      <c r="C34" s="100"/>
      <c r="D34" s="104"/>
      <c r="E34" s="105"/>
      <c r="F34" s="105">
        <v>0</v>
      </c>
      <c r="G34" s="106">
        <v>0</v>
      </c>
      <c r="H34" s="105">
        <v>0</v>
      </c>
      <c r="I34" s="105">
        <v>0</v>
      </c>
      <c r="J34" s="105">
        <v>0</v>
      </c>
      <c r="K34" s="105">
        <v>0</v>
      </c>
      <c r="L34" s="104">
        <v>0</v>
      </c>
      <c r="M34" s="105">
        <v>0</v>
      </c>
      <c r="N34" s="105">
        <v>0</v>
      </c>
      <c r="O34" s="106">
        <v>0</v>
      </c>
      <c r="P34" s="105">
        <v>0</v>
      </c>
      <c r="Q34" s="105">
        <v>0</v>
      </c>
      <c r="R34" s="142">
        <v>0</v>
      </c>
      <c r="S34" s="105">
        <v>0</v>
      </c>
      <c r="T34" s="104">
        <v>0</v>
      </c>
      <c r="U34" s="105">
        <v>0</v>
      </c>
      <c r="V34" s="142">
        <v>0</v>
      </c>
      <c r="W34" s="126">
        <v>0</v>
      </c>
    </row>
    <row r="35" spans="1:25" x14ac:dyDescent="0.15">
      <c r="A35" s="123"/>
      <c r="B35" s="100" t="s">
        <v>109</v>
      </c>
      <c r="C35" s="100"/>
      <c r="D35" s="104"/>
      <c r="E35" s="105"/>
      <c r="F35" s="105">
        <f>SUM(F33:F34)</f>
        <v>37497.600000000006</v>
      </c>
      <c r="G35" s="106">
        <f t="shared" ref="G35:W35" si="10">SUM(G33:G34)</f>
        <v>36911.700000000012</v>
      </c>
      <c r="H35" s="105">
        <f t="shared" si="10"/>
        <v>37497.600000000006</v>
      </c>
      <c r="I35" s="105">
        <f t="shared" si="10"/>
        <v>37497.600000000006</v>
      </c>
      <c r="J35" s="105">
        <f t="shared" si="10"/>
        <v>38083.5</v>
      </c>
      <c r="K35" s="105">
        <f t="shared" si="10"/>
        <v>36911.700000000012</v>
      </c>
      <c r="L35" s="104">
        <f t="shared" si="10"/>
        <v>37497.600000000006</v>
      </c>
      <c r="M35" s="105">
        <f t="shared" si="10"/>
        <v>38083.5</v>
      </c>
      <c r="N35" s="105">
        <f t="shared" si="10"/>
        <v>37497.600000000006</v>
      </c>
      <c r="O35" s="106">
        <f t="shared" si="10"/>
        <v>36911.700000000012</v>
      </c>
      <c r="P35" s="105">
        <f t="shared" si="10"/>
        <v>37497.600000000006</v>
      </c>
      <c r="Q35" s="105">
        <f t="shared" si="10"/>
        <v>37497.600000000006</v>
      </c>
      <c r="R35" s="142">
        <f t="shared" si="10"/>
        <v>37497.600000000006</v>
      </c>
      <c r="S35" s="105">
        <f t="shared" si="10"/>
        <v>36911.700000000012</v>
      </c>
      <c r="T35" s="104">
        <f t="shared" si="10"/>
        <v>36911.700000000012</v>
      </c>
      <c r="U35" s="105">
        <f t="shared" si="10"/>
        <v>38083.5</v>
      </c>
      <c r="V35" s="142">
        <f t="shared" si="10"/>
        <v>37497.600000000006</v>
      </c>
      <c r="W35" s="126">
        <f t="shared" si="10"/>
        <v>37497.600000000006</v>
      </c>
    </row>
    <row r="36" spans="1:25" x14ac:dyDescent="0.15">
      <c r="A36" s="123"/>
      <c r="B36" s="100"/>
      <c r="C36" s="100"/>
      <c r="D36" s="104"/>
      <c r="E36" s="105"/>
      <c r="F36" s="105"/>
      <c r="G36" s="106"/>
      <c r="H36" s="100"/>
      <c r="I36" s="100"/>
      <c r="J36" s="100"/>
      <c r="K36" s="100"/>
      <c r="L36" s="101"/>
      <c r="M36" s="100"/>
      <c r="N36" s="100"/>
      <c r="O36" s="102"/>
      <c r="P36" s="100"/>
      <c r="Q36" s="100"/>
      <c r="R36" s="143"/>
      <c r="S36" s="100"/>
      <c r="T36" s="101"/>
      <c r="U36" s="100"/>
      <c r="V36" s="143"/>
      <c r="W36" s="127"/>
    </row>
    <row r="37" spans="1:25" x14ac:dyDescent="0.15">
      <c r="A37" s="123" t="s">
        <v>52</v>
      </c>
      <c r="B37" s="100"/>
      <c r="C37" s="100"/>
      <c r="D37" s="104"/>
      <c r="E37" s="105">
        <f>360000</f>
        <v>360000</v>
      </c>
      <c r="F37" s="105">
        <f t="shared" ref="F37:W37" si="11">E37-F26</f>
        <v>330301.90000000002</v>
      </c>
      <c r="G37" s="106">
        <f t="shared" si="11"/>
        <v>301067.83</v>
      </c>
      <c r="H37" s="105">
        <f t="shared" si="11"/>
        <v>271969.69</v>
      </c>
      <c r="I37" s="105">
        <f t="shared" si="11"/>
        <v>244971.42</v>
      </c>
      <c r="J37" s="105">
        <f t="shared" si="11"/>
        <v>217551.30000000002</v>
      </c>
      <c r="K37" s="105">
        <f t="shared" si="11"/>
        <v>191565.46000000002</v>
      </c>
      <c r="L37" s="104">
        <f t="shared" si="11"/>
        <v>162467.32</v>
      </c>
      <c r="M37" s="105">
        <f t="shared" si="11"/>
        <v>135047.20000000001</v>
      </c>
      <c r="N37" s="105">
        <f t="shared" si="11"/>
        <v>108048.93000000001</v>
      </c>
      <c r="O37" s="106">
        <f t="shared" si="11"/>
        <v>82063.090000000011</v>
      </c>
      <c r="P37" s="105">
        <f t="shared" si="11"/>
        <v>52964.950000000012</v>
      </c>
      <c r="Q37" s="105">
        <f t="shared" si="11"/>
        <v>25966.680000000011</v>
      </c>
      <c r="R37" s="142">
        <f t="shared" si="11"/>
        <v>0</v>
      </c>
      <c r="S37" s="105">
        <f t="shared" si="11"/>
        <v>0</v>
      </c>
      <c r="T37" s="104">
        <f t="shared" si="11"/>
        <v>0</v>
      </c>
      <c r="U37" s="105">
        <f t="shared" si="11"/>
        <v>0</v>
      </c>
      <c r="V37" s="142">
        <f t="shared" si="11"/>
        <v>0</v>
      </c>
      <c r="W37" s="126">
        <f t="shared" si="11"/>
        <v>0</v>
      </c>
    </row>
    <row r="38" spans="1:25" x14ac:dyDescent="0.15">
      <c r="A38" s="123" t="s">
        <v>116</v>
      </c>
      <c r="B38" s="100"/>
      <c r="C38" s="100"/>
      <c r="D38" s="101"/>
      <c r="E38" s="110">
        <f>90000</f>
        <v>90000</v>
      </c>
      <c r="F38" s="105">
        <f t="shared" ref="F38:W38" si="12">E38-F27</f>
        <v>82575.48</v>
      </c>
      <c r="G38" s="106">
        <f t="shared" si="12"/>
        <v>75266.959999999992</v>
      </c>
      <c r="H38" s="105">
        <f t="shared" si="12"/>
        <v>67992.429999999993</v>
      </c>
      <c r="I38" s="105">
        <f t="shared" si="12"/>
        <v>61242.859999999993</v>
      </c>
      <c r="J38" s="105">
        <f t="shared" si="12"/>
        <v>54387.829999999994</v>
      </c>
      <c r="K38" s="105">
        <f t="shared" si="12"/>
        <v>47891.369999999995</v>
      </c>
      <c r="L38" s="104">
        <f t="shared" si="12"/>
        <v>40616.839999999997</v>
      </c>
      <c r="M38" s="105">
        <f t="shared" si="12"/>
        <v>33761.81</v>
      </c>
      <c r="N38" s="105">
        <f t="shared" si="12"/>
        <v>27012.239999999998</v>
      </c>
      <c r="O38" s="106">
        <f t="shared" si="12"/>
        <v>20515.78</v>
      </c>
      <c r="P38" s="105">
        <f t="shared" si="12"/>
        <v>13241.25</v>
      </c>
      <c r="Q38" s="105">
        <f t="shared" si="12"/>
        <v>6491.68</v>
      </c>
      <c r="R38" s="142">
        <f t="shared" si="12"/>
        <v>0</v>
      </c>
      <c r="S38" s="105">
        <f t="shared" si="12"/>
        <v>0</v>
      </c>
      <c r="T38" s="104">
        <f t="shared" si="12"/>
        <v>0</v>
      </c>
      <c r="U38" s="105">
        <f t="shared" si="12"/>
        <v>0</v>
      </c>
      <c r="V38" s="142">
        <f t="shared" si="12"/>
        <v>0</v>
      </c>
      <c r="W38" s="126">
        <f t="shared" si="12"/>
        <v>0</v>
      </c>
    </row>
    <row r="39" spans="1:25" x14ac:dyDescent="0.15">
      <c r="A39" s="113" t="s">
        <v>121</v>
      </c>
      <c r="B39" s="114"/>
      <c r="C39" s="114"/>
      <c r="D39" s="113"/>
      <c r="E39" s="115"/>
      <c r="F39" s="115">
        <f>ROUND(F31-F35+E39,0)</f>
        <v>0</v>
      </c>
      <c r="G39" s="116">
        <f>ROUND(G31-G35+F39,0)</f>
        <v>0</v>
      </c>
      <c r="H39" s="115">
        <f t="shared" ref="H39:W39" si="13">H31-H35+G39</f>
        <v>-2.0000000076834112E-3</v>
      </c>
      <c r="I39" s="115">
        <f t="shared" si="13"/>
        <v>-2.0000000149593689E-3</v>
      </c>
      <c r="J39" s="115">
        <f t="shared" si="13"/>
        <v>-2.0000000149593689E-3</v>
      </c>
      <c r="K39" s="115">
        <f t="shared" si="13"/>
        <v>1.9999999713036232E-3</v>
      </c>
      <c r="L39" s="117">
        <f t="shared" si="13"/>
        <v>-3.637978807091713E-11</v>
      </c>
      <c r="M39" s="115">
        <f t="shared" si="13"/>
        <v>-3.637978807091713E-11</v>
      </c>
      <c r="N39" s="115">
        <f t="shared" si="13"/>
        <v>-4.3655745685100555E-11</v>
      </c>
      <c r="O39" s="116">
        <f t="shared" si="13"/>
        <v>3.9999999426072463E-3</v>
      </c>
      <c r="P39" s="115">
        <f t="shared" si="13"/>
        <v>1.9999999349238351E-3</v>
      </c>
      <c r="Q39" s="115">
        <f t="shared" si="13"/>
        <v>1.9999999276478775E-3</v>
      </c>
      <c r="R39" s="144">
        <f t="shared" si="13"/>
        <v>-1289.4780000000683</v>
      </c>
      <c r="S39" s="115">
        <f t="shared" si="13"/>
        <v>-33771.774000000078</v>
      </c>
      <c r="T39" s="117">
        <f t="shared" si="13"/>
        <v>-69576.12300000008</v>
      </c>
      <c r="U39" s="115">
        <f t="shared" si="13"/>
        <v>-103851.27300000007</v>
      </c>
      <c r="V39" s="144">
        <f t="shared" si="13"/>
        <v>-137599.11300000007</v>
      </c>
      <c r="W39" s="128">
        <f t="shared" si="13"/>
        <v>-170597.00100000008</v>
      </c>
    </row>
    <row r="40" spans="1:25" x14ac:dyDescent="0.15">
      <c r="A40" s="129"/>
      <c r="B40" s="130"/>
      <c r="C40" s="130"/>
      <c r="D40" s="131"/>
      <c r="E40" s="130"/>
      <c r="F40" s="130"/>
      <c r="G40" s="132"/>
      <c r="H40" s="130"/>
      <c r="I40" s="130"/>
      <c r="J40" s="130"/>
      <c r="K40" s="130"/>
      <c r="L40" s="131"/>
      <c r="M40" s="130"/>
      <c r="N40" s="130"/>
      <c r="O40" s="132"/>
      <c r="P40" s="130"/>
      <c r="Q40" s="130"/>
      <c r="R40" s="145"/>
      <c r="S40" s="130"/>
      <c r="T40" s="131"/>
      <c r="U40" s="130"/>
      <c r="V40" s="145"/>
      <c r="W40" s="133"/>
    </row>
    <row r="41" spans="1:25" x14ac:dyDescent="0.15">
      <c r="A41" s="99" t="s">
        <v>117</v>
      </c>
      <c r="B41" s="100"/>
      <c r="C41" s="100"/>
      <c r="D41" s="101"/>
      <c r="E41" s="100"/>
      <c r="F41" s="100"/>
      <c r="G41" s="102"/>
      <c r="H41" s="100"/>
      <c r="I41" s="100"/>
      <c r="J41" s="100"/>
      <c r="K41" s="100"/>
      <c r="L41" s="101"/>
      <c r="M41" s="100"/>
      <c r="N41" s="100"/>
      <c r="O41" s="102"/>
      <c r="P41" s="100"/>
      <c r="Q41" s="100"/>
      <c r="R41" s="143"/>
      <c r="S41" s="100"/>
      <c r="T41" s="101"/>
      <c r="U41" s="100"/>
      <c r="V41" s="143"/>
      <c r="W41" s="102"/>
    </row>
    <row r="42" spans="1:25" x14ac:dyDescent="0.15">
      <c r="A42" s="101"/>
      <c r="B42" s="100" t="s">
        <v>30</v>
      </c>
      <c r="C42" s="100"/>
      <c r="D42" s="101"/>
      <c r="E42" s="100"/>
      <c r="F42" s="110">
        <f t="shared" ref="F42:W42" si="14">IF(ROUND(0.8*(F49-F45),2)&lt;E54,ROUND(0.8*(F49-F45),2),E54)</f>
        <v>36495.599999999999</v>
      </c>
      <c r="G42" s="112">
        <f t="shared" si="14"/>
        <v>35925.35</v>
      </c>
      <c r="H42" s="110">
        <f t="shared" si="14"/>
        <v>35573.99</v>
      </c>
      <c r="I42" s="110">
        <f t="shared" si="14"/>
        <v>32440.53</v>
      </c>
      <c r="J42" s="110">
        <f t="shared" si="14"/>
        <v>32198.61</v>
      </c>
      <c r="K42" s="110">
        <f t="shared" si="14"/>
        <v>30119.23</v>
      </c>
      <c r="L42" s="111">
        <f t="shared" si="14"/>
        <v>35573.99</v>
      </c>
      <c r="M42" s="110">
        <f t="shared" si="14"/>
        <v>32947.410000000003</v>
      </c>
      <c r="N42" s="110">
        <f t="shared" si="14"/>
        <v>31703.24</v>
      </c>
      <c r="O42" s="112">
        <f t="shared" si="14"/>
        <v>30119.23</v>
      </c>
      <c r="P42" s="110">
        <f t="shared" si="14"/>
        <v>35573.99</v>
      </c>
      <c r="Q42" s="110">
        <f t="shared" si="14"/>
        <v>32440.53</v>
      </c>
      <c r="R42" s="140">
        <f t="shared" si="14"/>
        <v>31703.24</v>
      </c>
      <c r="S42" s="110">
        <f t="shared" si="14"/>
        <v>30119.23</v>
      </c>
      <c r="T42" s="111">
        <f t="shared" si="14"/>
        <v>35018.15</v>
      </c>
      <c r="U42" s="110">
        <f t="shared" si="14"/>
        <v>32947.410000000003</v>
      </c>
      <c r="V42" s="166">
        <f t="shared" si="14"/>
        <v>31703.24</v>
      </c>
      <c r="W42" s="168">
        <f t="shared" si="14"/>
        <v>30597.32</v>
      </c>
    </row>
    <row r="43" spans="1:25" x14ac:dyDescent="0.15">
      <c r="A43" s="101"/>
      <c r="B43" s="100" t="s">
        <v>120</v>
      </c>
      <c r="C43" s="100"/>
      <c r="D43" s="101"/>
      <c r="E43" s="100"/>
      <c r="F43" s="110">
        <f t="shared" ref="F43:W43" si="15">IF(ROUND(0.2*(F49-F45),2)&lt;E55,ROUND(0.2*(F49-F45),2),E55)</f>
        <v>9123.9</v>
      </c>
      <c r="G43" s="112">
        <f t="shared" si="15"/>
        <v>8981.34</v>
      </c>
      <c r="H43" s="110">
        <f t="shared" si="15"/>
        <v>8893.5</v>
      </c>
      <c r="I43" s="110">
        <f t="shared" si="15"/>
        <v>8110.13</v>
      </c>
      <c r="J43" s="110">
        <f t="shared" si="15"/>
        <v>8049.65</v>
      </c>
      <c r="K43" s="110">
        <f t="shared" si="15"/>
        <v>7529.81</v>
      </c>
      <c r="L43" s="111">
        <f t="shared" si="15"/>
        <v>8893.5</v>
      </c>
      <c r="M43" s="110">
        <f t="shared" si="15"/>
        <v>8236.85</v>
      </c>
      <c r="N43" s="110">
        <f t="shared" si="15"/>
        <v>7925.81</v>
      </c>
      <c r="O43" s="112">
        <f t="shared" si="15"/>
        <v>7529.81</v>
      </c>
      <c r="P43" s="110">
        <f t="shared" si="15"/>
        <v>8893.5</v>
      </c>
      <c r="Q43" s="110">
        <f t="shared" si="15"/>
        <v>8110.13</v>
      </c>
      <c r="R43" s="140">
        <f t="shared" si="15"/>
        <v>7925.81</v>
      </c>
      <c r="S43" s="110">
        <f t="shared" si="15"/>
        <v>7529.81</v>
      </c>
      <c r="T43" s="111">
        <f t="shared" si="15"/>
        <v>8754.5400000000009</v>
      </c>
      <c r="U43" s="110">
        <f t="shared" si="15"/>
        <v>8236.85</v>
      </c>
      <c r="V43" s="140">
        <f t="shared" si="15"/>
        <v>7925.81</v>
      </c>
      <c r="W43" s="112">
        <f t="shared" si="15"/>
        <v>7649.33</v>
      </c>
    </row>
    <row r="44" spans="1:25" x14ac:dyDescent="0.15">
      <c r="A44" s="101"/>
      <c r="B44" s="100" t="s">
        <v>80</v>
      </c>
      <c r="C44" s="100"/>
      <c r="D44" s="101"/>
      <c r="E44" s="100"/>
      <c r="F44" s="110"/>
      <c r="G44" s="112"/>
      <c r="H44" s="110"/>
      <c r="I44" s="110"/>
      <c r="J44" s="110"/>
      <c r="K44" s="110"/>
      <c r="L44" s="111"/>
      <c r="M44" s="110"/>
      <c r="N44" s="110"/>
      <c r="O44" s="112"/>
      <c r="P44" s="110"/>
      <c r="Q44" s="110"/>
      <c r="R44" s="140"/>
      <c r="S44" s="110"/>
      <c r="T44" s="111"/>
      <c r="U44" s="110"/>
      <c r="V44" s="140"/>
      <c r="W44" s="112"/>
    </row>
    <row r="45" spans="1:25" x14ac:dyDescent="0.15">
      <c r="A45" s="101"/>
      <c r="B45" s="100" t="s">
        <v>38</v>
      </c>
      <c r="C45" s="100"/>
      <c r="D45" s="101"/>
      <c r="E45" s="100"/>
      <c r="F45" s="110">
        <f>F46*F49</f>
        <v>460.80297290322585</v>
      </c>
      <c r="G45" s="112">
        <f>G46*G49</f>
        <v>453.60292645161297</v>
      </c>
      <c r="H45" s="110">
        <f>H46*H49</f>
        <v>1612.8104051612904</v>
      </c>
      <c r="I45" s="110">
        <f>I46*I49</f>
        <v>5529.6356748387097</v>
      </c>
      <c r="J45" s="110">
        <f t="shared" ref="J45:W45" si="16">J46*J49</f>
        <v>6552.0422709677423</v>
      </c>
      <c r="K45" s="110">
        <f t="shared" si="16"/>
        <v>7711.2497496774204</v>
      </c>
      <c r="L45" s="111">
        <f t="shared" si="16"/>
        <v>1612.8104051612904</v>
      </c>
      <c r="M45" s="110">
        <f t="shared" si="16"/>
        <v>5616.036232258064</v>
      </c>
      <c r="N45" s="110">
        <f t="shared" si="16"/>
        <v>6451.2416206451617</v>
      </c>
      <c r="O45" s="112">
        <f t="shared" si="16"/>
        <v>7711.2497496774204</v>
      </c>
      <c r="P45" s="110">
        <f t="shared" si="16"/>
        <v>1612.8104051612904</v>
      </c>
      <c r="Q45" s="110">
        <f t="shared" si="16"/>
        <v>5529.6356748387097</v>
      </c>
      <c r="R45" s="140">
        <f t="shared" si="16"/>
        <v>6451.2416206451617</v>
      </c>
      <c r="S45" s="110">
        <f t="shared" si="16"/>
        <v>7711.2497496774204</v>
      </c>
      <c r="T45" s="111">
        <f t="shared" si="16"/>
        <v>1587.6102425806455</v>
      </c>
      <c r="U45" s="110">
        <f t="shared" si="16"/>
        <v>5616.036232258064</v>
      </c>
      <c r="V45" s="140">
        <f t="shared" si="16"/>
        <v>6451.2416206451617</v>
      </c>
      <c r="W45" s="112">
        <f t="shared" si="16"/>
        <v>7833.6505393548396</v>
      </c>
    </row>
    <row r="46" spans="1:25" x14ac:dyDescent="0.15">
      <c r="A46" s="101"/>
      <c r="B46" s="100"/>
      <c r="C46" s="100" t="s">
        <v>51</v>
      </c>
      <c r="D46" s="101"/>
      <c r="E46" s="100"/>
      <c r="F46" s="108">
        <v>0.01</v>
      </c>
      <c r="G46" s="109">
        <v>0.01</v>
      </c>
      <c r="H46" s="108">
        <v>3.5000000000000003E-2</v>
      </c>
      <c r="I46" s="108">
        <v>0.12</v>
      </c>
      <c r="J46" s="108">
        <v>0.14000000000000001</v>
      </c>
      <c r="K46" s="108">
        <v>0.17</v>
      </c>
      <c r="L46" s="107">
        <v>3.5000000000000003E-2</v>
      </c>
      <c r="M46" s="108">
        <v>0.12</v>
      </c>
      <c r="N46" s="108">
        <v>0.14000000000000001</v>
      </c>
      <c r="O46" s="109">
        <v>0.17</v>
      </c>
      <c r="P46" s="108">
        <v>3.5000000000000003E-2</v>
      </c>
      <c r="Q46" s="108">
        <v>0.12</v>
      </c>
      <c r="R46" s="141">
        <v>0.14000000000000001</v>
      </c>
      <c r="S46" s="108">
        <v>0.17</v>
      </c>
      <c r="T46" s="107">
        <v>3.5000000000000003E-2</v>
      </c>
      <c r="U46" s="108">
        <v>0.12</v>
      </c>
      <c r="V46" s="141">
        <v>0.14000000000000001</v>
      </c>
      <c r="W46" s="109">
        <v>0.17</v>
      </c>
    </row>
    <row r="47" spans="1:25" x14ac:dyDescent="0.15">
      <c r="A47" s="101"/>
      <c r="B47" s="100" t="s">
        <v>109</v>
      </c>
      <c r="C47" s="100"/>
      <c r="D47" s="101"/>
      <c r="E47" s="100"/>
      <c r="F47" s="105">
        <f>SUM(F42:F45)</f>
        <v>46080.302972903228</v>
      </c>
      <c r="G47" s="106">
        <f t="shared" ref="G47:W47" si="17">SUM(G42:G45)</f>
        <v>45360.292926451613</v>
      </c>
      <c r="H47" s="105">
        <f t="shared" si="17"/>
        <v>46080.300405161288</v>
      </c>
      <c r="I47" s="105">
        <f t="shared" si="17"/>
        <v>46080.295674838708</v>
      </c>
      <c r="J47" s="105">
        <f t="shared" si="17"/>
        <v>46800.302270967746</v>
      </c>
      <c r="K47" s="105">
        <f t="shared" si="17"/>
        <v>45360.289749677424</v>
      </c>
      <c r="L47" s="104">
        <f t="shared" si="17"/>
        <v>46080.300405161288</v>
      </c>
      <c r="M47" s="105">
        <f t="shared" si="17"/>
        <v>46800.296232258064</v>
      </c>
      <c r="N47" s="105">
        <f t="shared" si="17"/>
        <v>46080.291620645163</v>
      </c>
      <c r="O47" s="106">
        <f t="shared" si="17"/>
        <v>45360.289749677424</v>
      </c>
      <c r="P47" s="105">
        <f t="shared" si="17"/>
        <v>46080.300405161288</v>
      </c>
      <c r="Q47" s="105">
        <f t="shared" si="17"/>
        <v>46080.295674838708</v>
      </c>
      <c r="R47" s="142">
        <f t="shared" si="17"/>
        <v>46080.291620645163</v>
      </c>
      <c r="S47" s="105">
        <f t="shared" si="17"/>
        <v>45360.289749677424</v>
      </c>
      <c r="T47" s="104">
        <f t="shared" si="17"/>
        <v>45360.300242580648</v>
      </c>
      <c r="U47" s="105">
        <f t="shared" si="17"/>
        <v>46800.296232258064</v>
      </c>
      <c r="V47" s="142">
        <f t="shared" si="17"/>
        <v>46080.291620645163</v>
      </c>
      <c r="W47" s="106">
        <f t="shared" si="17"/>
        <v>46080.300539354837</v>
      </c>
    </row>
    <row r="48" spans="1:25" x14ac:dyDescent="0.15">
      <c r="A48" s="101"/>
      <c r="B48" s="100"/>
      <c r="C48" s="100"/>
      <c r="D48" s="101"/>
      <c r="E48" s="100"/>
      <c r="F48" s="105"/>
      <c r="G48" s="106"/>
      <c r="H48" s="105"/>
      <c r="I48" s="105"/>
      <c r="J48" s="100"/>
      <c r="K48" s="100"/>
      <c r="L48" s="101"/>
      <c r="M48" s="100"/>
      <c r="N48" s="100"/>
      <c r="O48" s="102"/>
      <c r="P48" s="100"/>
      <c r="Q48" s="100"/>
      <c r="R48" s="143"/>
      <c r="S48" s="100"/>
      <c r="T48" s="101"/>
      <c r="U48" s="100"/>
      <c r="V48" s="143"/>
      <c r="W48" s="102"/>
    </row>
    <row r="49" spans="1:25" x14ac:dyDescent="0.15">
      <c r="A49" s="101"/>
      <c r="B49" s="100" t="s">
        <v>33</v>
      </c>
      <c r="C49" s="100"/>
      <c r="D49" s="101"/>
      <c r="E49" s="100"/>
      <c r="F49" s="110">
        <f t="shared" ref="F49:W49" si="18">609.84*F3*(54.9/46.5)</f>
        <v>46080.297290322582</v>
      </c>
      <c r="G49" s="112">
        <f t="shared" si="18"/>
        <v>45360.292645161295</v>
      </c>
      <c r="H49" s="110">
        <f t="shared" si="18"/>
        <v>46080.297290322582</v>
      </c>
      <c r="I49" s="110">
        <f t="shared" si="18"/>
        <v>46080.297290322582</v>
      </c>
      <c r="J49" s="110">
        <f t="shared" si="18"/>
        <v>46800.301935483869</v>
      </c>
      <c r="K49" s="110">
        <f t="shared" si="18"/>
        <v>45360.292645161295</v>
      </c>
      <c r="L49" s="111">
        <f t="shared" si="18"/>
        <v>46080.297290322582</v>
      </c>
      <c r="M49" s="110">
        <f t="shared" si="18"/>
        <v>46800.301935483869</v>
      </c>
      <c r="N49" s="110">
        <f t="shared" si="18"/>
        <v>46080.297290322582</v>
      </c>
      <c r="O49" s="112">
        <f t="shared" si="18"/>
        <v>45360.292645161295</v>
      </c>
      <c r="P49" s="110">
        <f t="shared" si="18"/>
        <v>46080.297290322582</v>
      </c>
      <c r="Q49" s="110">
        <f t="shared" si="18"/>
        <v>46080.297290322582</v>
      </c>
      <c r="R49" s="140">
        <f t="shared" si="18"/>
        <v>46080.297290322582</v>
      </c>
      <c r="S49" s="110">
        <f t="shared" si="18"/>
        <v>45360.292645161295</v>
      </c>
      <c r="T49" s="111">
        <f t="shared" si="18"/>
        <v>45360.292645161295</v>
      </c>
      <c r="U49" s="110">
        <f t="shared" si="18"/>
        <v>46800.301935483869</v>
      </c>
      <c r="V49" s="140">
        <f t="shared" si="18"/>
        <v>46080.297290322582</v>
      </c>
      <c r="W49" s="112">
        <f t="shared" si="18"/>
        <v>46080.297290322582</v>
      </c>
      <c r="X49" s="162">
        <v>54.9</v>
      </c>
      <c r="Y49" s="103" t="s">
        <v>119</v>
      </c>
    </row>
    <row r="50" spans="1:25" x14ac:dyDescent="0.15">
      <c r="A50" s="101"/>
      <c r="B50" s="100" t="s">
        <v>110</v>
      </c>
      <c r="C50" s="100"/>
      <c r="D50" s="104"/>
      <c r="E50" s="105"/>
      <c r="F50" s="105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4">
        <v>0</v>
      </c>
      <c r="M50" s="105">
        <v>0</v>
      </c>
      <c r="N50" s="105">
        <v>0</v>
      </c>
      <c r="O50" s="106">
        <v>0</v>
      </c>
      <c r="P50" s="105">
        <v>0</v>
      </c>
      <c r="Q50" s="105">
        <v>0</v>
      </c>
      <c r="R50" s="142">
        <v>0</v>
      </c>
      <c r="S50" s="105">
        <v>0</v>
      </c>
      <c r="T50" s="104">
        <v>0</v>
      </c>
      <c r="U50" s="105">
        <v>0</v>
      </c>
      <c r="V50" s="142">
        <v>0</v>
      </c>
      <c r="W50" s="106">
        <v>0</v>
      </c>
    </row>
    <row r="51" spans="1:25" x14ac:dyDescent="0.15">
      <c r="A51" s="101"/>
      <c r="B51" s="100" t="s">
        <v>109</v>
      </c>
      <c r="C51" s="100"/>
      <c r="D51" s="104"/>
      <c r="E51" s="105"/>
      <c r="F51" s="105">
        <f>SUM(F49:F50)</f>
        <v>46080.297290322582</v>
      </c>
      <c r="G51" s="106">
        <f t="shared" ref="G51:W51" si="19">SUM(G49:G50)</f>
        <v>45360.292645161295</v>
      </c>
      <c r="H51" s="105">
        <f t="shared" si="19"/>
        <v>46080.297290322582</v>
      </c>
      <c r="I51" s="105">
        <f t="shared" si="19"/>
        <v>46080.297290322582</v>
      </c>
      <c r="J51" s="105">
        <f t="shared" si="19"/>
        <v>46800.301935483869</v>
      </c>
      <c r="K51" s="105">
        <f t="shared" si="19"/>
        <v>45360.292645161295</v>
      </c>
      <c r="L51" s="104">
        <f t="shared" si="19"/>
        <v>46080.297290322582</v>
      </c>
      <c r="M51" s="105">
        <f t="shared" si="19"/>
        <v>46800.301935483869</v>
      </c>
      <c r="N51" s="105">
        <f t="shared" si="19"/>
        <v>46080.297290322582</v>
      </c>
      <c r="O51" s="106">
        <f t="shared" si="19"/>
        <v>45360.292645161295</v>
      </c>
      <c r="P51" s="105">
        <f t="shared" si="19"/>
        <v>46080.297290322582</v>
      </c>
      <c r="Q51" s="105">
        <f t="shared" si="19"/>
        <v>46080.297290322582</v>
      </c>
      <c r="R51" s="142">
        <f t="shared" si="19"/>
        <v>46080.297290322582</v>
      </c>
      <c r="S51" s="105">
        <f t="shared" si="19"/>
        <v>45360.292645161295</v>
      </c>
      <c r="T51" s="104">
        <f t="shared" si="19"/>
        <v>45360.292645161295</v>
      </c>
      <c r="U51" s="105">
        <f t="shared" si="19"/>
        <v>46800.301935483869</v>
      </c>
      <c r="V51" s="142">
        <f t="shared" si="19"/>
        <v>46080.297290322582</v>
      </c>
      <c r="W51" s="106">
        <f t="shared" si="19"/>
        <v>46080.297290322582</v>
      </c>
    </row>
    <row r="52" spans="1:25" x14ac:dyDescent="0.15">
      <c r="A52" s="101"/>
      <c r="B52" s="100"/>
      <c r="C52" s="100"/>
      <c r="D52" s="104"/>
      <c r="E52" s="105"/>
      <c r="F52" s="105"/>
      <c r="G52" s="106"/>
      <c r="H52" s="100"/>
      <c r="I52" s="100"/>
      <c r="J52" s="100"/>
      <c r="K52" s="100"/>
      <c r="L52" s="101"/>
      <c r="M52" s="100"/>
      <c r="N52" s="100"/>
      <c r="O52" s="102"/>
      <c r="P52" s="100"/>
      <c r="Q52" s="100"/>
      <c r="R52" s="143"/>
      <c r="S52" s="100"/>
      <c r="T52" s="101"/>
      <c r="U52" s="100"/>
      <c r="V52" s="143"/>
      <c r="W52" s="102"/>
    </row>
    <row r="53" spans="1:25" x14ac:dyDescent="0.15">
      <c r="A53" s="101"/>
      <c r="B53" s="100"/>
      <c r="C53" s="100"/>
      <c r="D53" s="104"/>
      <c r="E53" s="105"/>
      <c r="F53" s="105"/>
      <c r="G53" s="106"/>
      <c r="H53" s="100"/>
      <c r="I53" s="100"/>
      <c r="J53" s="100"/>
      <c r="K53" s="100"/>
      <c r="L53" s="101"/>
      <c r="M53" s="100"/>
      <c r="N53" s="100"/>
      <c r="O53" s="102"/>
      <c r="P53" s="100"/>
      <c r="Q53" s="100"/>
      <c r="R53" s="143"/>
      <c r="S53" s="100"/>
      <c r="T53" s="101"/>
      <c r="U53" s="100"/>
      <c r="V53" s="143"/>
      <c r="W53" s="102"/>
    </row>
    <row r="54" spans="1:25" x14ac:dyDescent="0.15">
      <c r="A54" s="101" t="s">
        <v>52</v>
      </c>
      <c r="B54" s="100"/>
      <c r="C54" s="100"/>
      <c r="D54" s="104"/>
      <c r="E54" s="105">
        <v>720000</v>
      </c>
      <c r="F54" s="105">
        <f>E54-F42</f>
        <v>683504.4</v>
      </c>
      <c r="G54" s="106">
        <f t="shared" ref="G54:W55" si="20">F54-G42</f>
        <v>647579.05000000005</v>
      </c>
      <c r="H54" s="105">
        <f t="shared" si="20"/>
        <v>612005.06000000006</v>
      </c>
      <c r="I54" s="105">
        <f t="shared" si="20"/>
        <v>579564.53</v>
      </c>
      <c r="J54" s="105">
        <f t="shared" si="20"/>
        <v>547365.92000000004</v>
      </c>
      <c r="K54" s="105">
        <f t="shared" si="20"/>
        <v>517246.69000000006</v>
      </c>
      <c r="L54" s="104">
        <f t="shared" si="20"/>
        <v>481672.70000000007</v>
      </c>
      <c r="M54" s="105">
        <f t="shared" si="20"/>
        <v>448725.29000000004</v>
      </c>
      <c r="N54" s="105">
        <f t="shared" si="20"/>
        <v>417022.05000000005</v>
      </c>
      <c r="O54" s="106">
        <f t="shared" si="20"/>
        <v>386902.82000000007</v>
      </c>
      <c r="P54" s="105">
        <f t="shared" si="20"/>
        <v>351328.83000000007</v>
      </c>
      <c r="Q54" s="105">
        <f t="shared" si="20"/>
        <v>318888.30000000005</v>
      </c>
      <c r="R54" s="142">
        <f t="shared" si="20"/>
        <v>287185.06000000006</v>
      </c>
      <c r="S54" s="105">
        <f t="shared" si="20"/>
        <v>257065.83000000005</v>
      </c>
      <c r="T54" s="104">
        <f t="shared" si="20"/>
        <v>222047.68000000005</v>
      </c>
      <c r="U54" s="105">
        <f t="shared" si="20"/>
        <v>189100.27000000005</v>
      </c>
      <c r="V54" s="142">
        <f t="shared" si="20"/>
        <v>157397.03000000006</v>
      </c>
      <c r="W54" s="106">
        <f t="shared" si="20"/>
        <v>126799.71000000005</v>
      </c>
    </row>
    <row r="55" spans="1:25" x14ac:dyDescent="0.15">
      <c r="A55" s="101" t="s">
        <v>118</v>
      </c>
      <c r="B55" s="100"/>
      <c r="C55" s="100"/>
      <c r="D55" s="101"/>
      <c r="E55" s="110">
        <v>180000</v>
      </c>
      <c r="F55" s="105">
        <f>E55-F43</f>
        <v>170876.1</v>
      </c>
      <c r="G55" s="106">
        <f t="shared" si="20"/>
        <v>161894.76</v>
      </c>
      <c r="H55" s="105">
        <f t="shared" si="20"/>
        <v>153001.26</v>
      </c>
      <c r="I55" s="105">
        <f t="shared" si="20"/>
        <v>144891.13</v>
      </c>
      <c r="J55" s="105">
        <f t="shared" si="20"/>
        <v>136841.48000000001</v>
      </c>
      <c r="K55" s="105">
        <f t="shared" si="20"/>
        <v>129311.67000000001</v>
      </c>
      <c r="L55" s="104">
        <f t="shared" si="20"/>
        <v>120418.17000000001</v>
      </c>
      <c r="M55" s="105">
        <f t="shared" si="20"/>
        <v>112181.32</v>
      </c>
      <c r="N55" s="105">
        <f t="shared" si="20"/>
        <v>104255.51000000001</v>
      </c>
      <c r="O55" s="106">
        <f t="shared" si="20"/>
        <v>96725.700000000012</v>
      </c>
      <c r="P55" s="105">
        <f t="shared" si="20"/>
        <v>87832.200000000012</v>
      </c>
      <c r="Q55" s="105">
        <f t="shared" si="20"/>
        <v>79722.070000000007</v>
      </c>
      <c r="R55" s="142">
        <f t="shared" si="20"/>
        <v>71796.260000000009</v>
      </c>
      <c r="S55" s="105">
        <f t="shared" si="20"/>
        <v>64266.450000000012</v>
      </c>
      <c r="T55" s="104">
        <f t="shared" si="20"/>
        <v>55511.910000000011</v>
      </c>
      <c r="U55" s="105">
        <f t="shared" si="20"/>
        <v>47275.060000000012</v>
      </c>
      <c r="V55" s="142">
        <f t="shared" si="20"/>
        <v>39349.250000000015</v>
      </c>
      <c r="W55" s="106">
        <f t="shared" si="20"/>
        <v>31699.920000000013</v>
      </c>
    </row>
    <row r="56" spans="1:25" x14ac:dyDescent="0.15">
      <c r="A56" s="113" t="s">
        <v>121</v>
      </c>
      <c r="B56" s="114"/>
      <c r="C56" s="114"/>
      <c r="D56" s="113"/>
      <c r="E56" s="115"/>
      <c r="F56" s="115">
        <f>ROUND(F48-F52+E56,0)</f>
        <v>0</v>
      </c>
      <c r="G56" s="116">
        <f>ROUND(G48-G52+F56,0)</f>
        <v>0</v>
      </c>
      <c r="H56" s="115">
        <f t="shared" ref="H56:W56" si="21">G56+H47-H51</f>
        <v>3.1148387060966343E-3</v>
      </c>
      <c r="I56" s="115">
        <f t="shared" si="21"/>
        <v>1.4993548320489936E-3</v>
      </c>
      <c r="J56" s="115">
        <f t="shared" si="21"/>
        <v>1.8348387093283236E-3</v>
      </c>
      <c r="K56" s="115">
        <f t="shared" si="21"/>
        <v>-1.0606451614876278E-3</v>
      </c>
      <c r="L56" s="117">
        <f t="shared" si="21"/>
        <v>2.0541935446090065E-3</v>
      </c>
      <c r="M56" s="115">
        <f t="shared" si="21"/>
        <v>-3.6490322600002401E-3</v>
      </c>
      <c r="N56" s="115">
        <f t="shared" si="21"/>
        <v>-9.3187096790643409E-3</v>
      </c>
      <c r="O56" s="116">
        <f t="shared" si="21"/>
        <v>-1.2214193549880292E-2</v>
      </c>
      <c r="P56" s="115">
        <f t="shared" si="21"/>
        <v>-9.099354843783658E-3</v>
      </c>
      <c r="Q56" s="115">
        <f t="shared" si="21"/>
        <v>-1.0714838717831299E-2</v>
      </c>
      <c r="R56" s="144">
        <f t="shared" si="21"/>
        <v>-1.63845161368954E-2</v>
      </c>
      <c r="S56" s="115">
        <f t="shared" si="21"/>
        <v>-1.9280000007711351E-2</v>
      </c>
      <c r="T56" s="117">
        <f t="shared" si="21"/>
        <v>-1.1682580654451158E-2</v>
      </c>
      <c r="U56" s="115">
        <f t="shared" si="21"/>
        <v>-1.7385806459060404E-2</v>
      </c>
      <c r="V56" s="144">
        <f t="shared" si="21"/>
        <v>-2.3055483878124505E-2</v>
      </c>
      <c r="W56" s="116">
        <f t="shared" si="21"/>
        <v>-1.9806451622571331E-2</v>
      </c>
    </row>
    <row r="57" spans="1:25" ht="15" thickBot="1" x14ac:dyDescent="0.2">
      <c r="A57" s="101"/>
      <c r="B57" s="100"/>
      <c r="C57" s="100"/>
      <c r="D57" s="101"/>
      <c r="E57" s="100"/>
      <c r="F57" s="100"/>
      <c r="G57" s="102"/>
      <c r="H57" s="100"/>
      <c r="I57" s="100"/>
      <c r="J57" s="100"/>
      <c r="K57" s="100"/>
      <c r="L57" s="101"/>
      <c r="M57" s="100"/>
      <c r="N57" s="100"/>
      <c r="O57" s="102"/>
      <c r="P57" s="100"/>
      <c r="Q57" s="100"/>
      <c r="R57" s="146"/>
      <c r="S57" s="100"/>
      <c r="T57" s="101"/>
      <c r="U57" s="100"/>
      <c r="V57" s="146"/>
      <c r="W57" s="102"/>
    </row>
    <row r="58" spans="1:25" ht="15" thickBot="1" x14ac:dyDescent="0.2">
      <c r="A58" s="134" t="s">
        <v>122</v>
      </c>
      <c r="B58" s="135"/>
      <c r="C58" s="135"/>
      <c r="D58" s="136">
        <f>D56+D39+D23</f>
        <v>0</v>
      </c>
      <c r="E58" s="137">
        <f t="shared" ref="E58:W58" si="22">E56+E39+E23</f>
        <v>0</v>
      </c>
      <c r="F58" s="137">
        <f t="shared" si="22"/>
        <v>0</v>
      </c>
      <c r="G58" s="138">
        <f t="shared" si="22"/>
        <v>0</v>
      </c>
      <c r="H58" s="137">
        <f t="shared" si="22"/>
        <v>34014.972530423118</v>
      </c>
      <c r="I58" s="137">
        <f t="shared" si="22"/>
        <v>14744.61096039378</v>
      </c>
      <c r="J58" s="137">
        <f t="shared" si="22"/>
        <v>-4089.3119041223472</v>
      </c>
      <c r="K58" s="137">
        <f t="shared" si="22"/>
        <v>-20134.500817788055</v>
      </c>
      <c r="L58" s="136">
        <f t="shared" si="22"/>
        <v>-51789.457610092999</v>
      </c>
      <c r="M58" s="137">
        <f t="shared" si="22"/>
        <v>-84054.09246386119</v>
      </c>
      <c r="N58" s="137">
        <f t="shared" si="22"/>
        <v>-115708.84910880076</v>
      </c>
      <c r="O58" s="138">
        <f t="shared" si="22"/>
        <v>-146753.70842161818</v>
      </c>
      <c r="P58" s="137">
        <f t="shared" si="22"/>
        <v>-178408.66521392314</v>
      </c>
      <c r="Q58" s="137">
        <f t="shared" si="22"/>
        <v>-210063.45597994945</v>
      </c>
      <c r="R58" s="137">
        <f t="shared" si="22"/>
        <v>-243007.69262488902</v>
      </c>
      <c r="S58" s="137">
        <f t="shared" si="22"/>
        <v>-306534.85193770647</v>
      </c>
      <c r="T58" s="136">
        <f t="shared" si="22"/>
        <v>-373383.95029167994</v>
      </c>
      <c r="U58" s="137">
        <f t="shared" si="22"/>
        <v>-439923.46188182745</v>
      </c>
      <c r="V58" s="137">
        <f t="shared" si="22"/>
        <v>-505325.74237395555</v>
      </c>
      <c r="W58" s="138">
        <f t="shared" si="22"/>
        <v>-569977.98088290298</v>
      </c>
    </row>
  </sheetData>
  <mergeCells count="5">
    <mergeCell ref="D1:G1"/>
    <mergeCell ref="H1:K1"/>
    <mergeCell ref="L1:O1"/>
    <mergeCell ref="P1:S1"/>
    <mergeCell ref="T1:W1"/>
  </mergeCells>
  <pageMargins left="0.2" right="0.2" top="0.25" bottom="0.25" header="0.3" footer="0.3"/>
  <pageSetup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>
    <pageSetUpPr fitToPage="1"/>
  </sheetPr>
  <dimension ref="A1:Y58"/>
  <sheetViews>
    <sheetView zoomScale="70" zoomScaleNormal="70" workbookViewId="0">
      <pane ySplit="960" topLeftCell="A13" activePane="bottomLeft"/>
      <selection pane="bottomLeft" activeCell="H49" sqref="H49:K49"/>
    </sheetView>
  </sheetViews>
  <sheetFormatPr baseColWidth="10" defaultColWidth="9.1640625" defaultRowHeight="14" x14ac:dyDescent="0.15"/>
  <cols>
    <col min="1" max="1" width="9.1640625" style="103"/>
    <col min="2" max="2" width="6.1640625" style="103" customWidth="1"/>
    <col min="3" max="3" width="17" style="103" customWidth="1"/>
    <col min="4" max="11" width="12.6640625" style="103" customWidth="1"/>
    <col min="12" max="15" width="13.33203125" style="103" customWidth="1"/>
    <col min="16" max="19" width="14.33203125" style="103" customWidth="1"/>
    <col min="20" max="23" width="14.6640625" style="103" customWidth="1"/>
    <col min="24" max="16384" width="9.1640625" style="103"/>
  </cols>
  <sheetData>
    <row r="1" spans="1:23" s="96" customFormat="1" ht="18" x14ac:dyDescent="0.2">
      <c r="A1" s="94" t="s">
        <v>124</v>
      </c>
      <c r="B1" s="95"/>
      <c r="C1" s="95"/>
      <c r="D1" s="188">
        <v>2015</v>
      </c>
      <c r="E1" s="189"/>
      <c r="F1" s="189"/>
      <c r="G1" s="190"/>
      <c r="H1" s="189">
        <v>2016</v>
      </c>
      <c r="I1" s="189"/>
      <c r="J1" s="189"/>
      <c r="K1" s="189"/>
      <c r="L1" s="188">
        <v>2017</v>
      </c>
      <c r="M1" s="189"/>
      <c r="N1" s="189"/>
      <c r="O1" s="190"/>
      <c r="P1" s="189">
        <v>2018</v>
      </c>
      <c r="Q1" s="189"/>
      <c r="R1" s="189"/>
      <c r="S1" s="189"/>
      <c r="T1" s="188">
        <v>2019</v>
      </c>
      <c r="U1" s="189"/>
      <c r="V1" s="189"/>
      <c r="W1" s="190"/>
    </row>
    <row r="2" spans="1:23" s="96" customFormat="1" ht="18" x14ac:dyDescent="0.2">
      <c r="A2" s="97"/>
      <c r="B2" s="98"/>
      <c r="C2" s="98" t="s">
        <v>114</v>
      </c>
      <c r="D2" s="149">
        <v>1</v>
      </c>
      <c r="E2" s="150">
        <v>2</v>
      </c>
      <c r="F2" s="150">
        <v>3</v>
      </c>
      <c r="G2" s="151">
        <v>4</v>
      </c>
      <c r="H2" s="155">
        <v>1</v>
      </c>
      <c r="I2" s="150">
        <v>2</v>
      </c>
      <c r="J2" s="150">
        <v>3</v>
      </c>
      <c r="K2" s="156">
        <v>4</v>
      </c>
      <c r="L2" s="149">
        <v>1</v>
      </c>
      <c r="M2" s="150">
        <v>2</v>
      </c>
      <c r="N2" s="150">
        <v>3</v>
      </c>
      <c r="O2" s="151">
        <v>4</v>
      </c>
      <c r="P2" s="155">
        <v>1</v>
      </c>
      <c r="Q2" s="150">
        <v>2</v>
      </c>
      <c r="R2" s="150">
        <v>3</v>
      </c>
      <c r="S2" s="156">
        <v>4</v>
      </c>
      <c r="T2" s="149">
        <v>1</v>
      </c>
      <c r="U2" s="150">
        <v>2</v>
      </c>
      <c r="V2" s="150">
        <v>3</v>
      </c>
      <c r="W2" s="151">
        <v>4</v>
      </c>
    </row>
    <row r="3" spans="1:23" s="96" customFormat="1" ht="19" thickBot="1" x14ac:dyDescent="0.25">
      <c r="A3" s="147"/>
      <c r="B3" s="148"/>
      <c r="C3" s="148" t="s">
        <v>50</v>
      </c>
      <c r="D3" s="152">
        <v>63</v>
      </c>
      <c r="E3" s="153">
        <v>64</v>
      </c>
      <c r="F3" s="153">
        <v>64</v>
      </c>
      <c r="G3" s="154">
        <v>63</v>
      </c>
      <c r="H3" s="157">
        <v>64</v>
      </c>
      <c r="I3" s="153">
        <v>64</v>
      </c>
      <c r="J3" s="153">
        <v>65</v>
      </c>
      <c r="K3" s="158">
        <v>63</v>
      </c>
      <c r="L3" s="152">
        <f>22+20+22</f>
        <v>64</v>
      </c>
      <c r="M3" s="153">
        <f>20+23+22</f>
        <v>65</v>
      </c>
      <c r="N3" s="153">
        <f>20+23+21</f>
        <v>64</v>
      </c>
      <c r="O3" s="154">
        <f>22+21+20</f>
        <v>63</v>
      </c>
      <c r="P3" s="157">
        <f>22+20+22</f>
        <v>64</v>
      </c>
      <c r="Q3" s="153">
        <f>21+22+21</f>
        <v>64</v>
      </c>
      <c r="R3" s="153">
        <f>21+23+20</f>
        <v>64</v>
      </c>
      <c r="S3" s="158">
        <f>22+21+20</f>
        <v>63</v>
      </c>
      <c r="T3" s="159">
        <f>22+20+21</f>
        <v>63</v>
      </c>
      <c r="U3" s="160">
        <f>22+23+20</f>
        <v>65</v>
      </c>
      <c r="V3" s="160">
        <f>21+22+21</f>
        <v>64</v>
      </c>
      <c r="W3" s="161">
        <f>23+20+21</f>
        <v>64</v>
      </c>
    </row>
    <row r="4" spans="1:23" x14ac:dyDescent="0.15">
      <c r="A4" s="99" t="s">
        <v>108</v>
      </c>
      <c r="B4" s="100"/>
      <c r="C4" s="100"/>
      <c r="D4" s="101"/>
      <c r="E4" s="100"/>
      <c r="F4" s="100"/>
      <c r="G4" s="102"/>
      <c r="H4" s="100"/>
      <c r="I4" s="100"/>
      <c r="J4" s="100"/>
      <c r="K4" s="100"/>
      <c r="L4" s="101"/>
      <c r="M4" s="100"/>
      <c r="N4" s="100"/>
      <c r="O4" s="102"/>
      <c r="P4" s="100"/>
      <c r="Q4" s="100"/>
      <c r="R4" s="100"/>
      <c r="S4" s="100"/>
      <c r="T4" s="101"/>
      <c r="U4" s="100"/>
      <c r="V4" s="100"/>
      <c r="W4" s="102"/>
    </row>
    <row r="5" spans="1:23" x14ac:dyDescent="0.15">
      <c r="A5" s="101" t="s">
        <v>29</v>
      </c>
      <c r="B5" s="100"/>
      <c r="C5" s="100"/>
      <c r="D5" s="101"/>
      <c r="E5" s="100"/>
      <c r="F5" s="100"/>
      <c r="G5" s="102"/>
      <c r="H5" s="100"/>
      <c r="I5" s="100"/>
      <c r="J5" s="100"/>
      <c r="K5" s="100"/>
      <c r="L5" s="101"/>
      <c r="M5" s="100"/>
      <c r="N5" s="100"/>
      <c r="O5" s="102"/>
      <c r="P5" s="100"/>
      <c r="Q5" s="100"/>
      <c r="R5" s="100"/>
      <c r="S5" s="100"/>
      <c r="T5" s="101"/>
      <c r="U5" s="100"/>
      <c r="V5" s="100"/>
      <c r="W5" s="102"/>
    </row>
    <row r="6" spans="1:23" x14ac:dyDescent="0.15">
      <c r="A6" s="101"/>
      <c r="B6" s="100" t="s">
        <v>111</v>
      </c>
      <c r="C6" s="100"/>
      <c r="D6" s="104">
        <v>26560.260000000002</v>
      </c>
      <c r="E6" s="105">
        <v>27419.21</v>
      </c>
      <c r="F6" s="105">
        <f>F17*0.8</f>
        <v>31223.808000000005</v>
      </c>
      <c r="G6" s="106">
        <f>G17*0.8</f>
        <v>30735.936000000005</v>
      </c>
      <c r="H6" s="105">
        <f>G21</f>
        <v>4806.2559999999903</v>
      </c>
      <c r="I6" s="105">
        <v>0</v>
      </c>
      <c r="J6" s="163">
        <v>0</v>
      </c>
      <c r="K6" s="163">
        <v>0</v>
      </c>
      <c r="L6" s="164">
        <v>0</v>
      </c>
      <c r="M6" s="163">
        <v>0</v>
      </c>
      <c r="N6" s="163">
        <v>0</v>
      </c>
      <c r="O6" s="165">
        <v>0</v>
      </c>
      <c r="P6" s="163">
        <v>0</v>
      </c>
      <c r="Q6" s="163">
        <v>0</v>
      </c>
      <c r="R6" s="163">
        <v>0</v>
      </c>
      <c r="S6" s="163">
        <v>0</v>
      </c>
      <c r="T6" s="164">
        <v>0</v>
      </c>
      <c r="U6" s="163">
        <v>0</v>
      </c>
      <c r="V6" s="163">
        <v>0</v>
      </c>
      <c r="W6" s="165">
        <v>0</v>
      </c>
    </row>
    <row r="7" spans="1:23" x14ac:dyDescent="0.15">
      <c r="A7" s="101"/>
      <c r="B7" s="100" t="s">
        <v>31</v>
      </c>
      <c r="C7" s="100"/>
      <c r="D7" s="104">
        <v>6640.07</v>
      </c>
      <c r="E7" s="105">
        <v>6854.8099999999995</v>
      </c>
      <c r="F7" s="105">
        <f>F17*0.2</f>
        <v>7805.9520000000011</v>
      </c>
      <c r="G7" s="106">
        <f>G17*0.2</f>
        <v>7683.9840000000013</v>
      </c>
      <c r="H7" s="105">
        <v>0</v>
      </c>
      <c r="I7" s="105">
        <v>0</v>
      </c>
      <c r="J7" s="105">
        <v>0</v>
      </c>
      <c r="K7" s="105">
        <v>0</v>
      </c>
      <c r="L7" s="104">
        <v>0</v>
      </c>
      <c r="M7" s="105">
        <v>0</v>
      </c>
      <c r="N7" s="105">
        <v>0</v>
      </c>
      <c r="O7" s="106">
        <v>0</v>
      </c>
      <c r="P7" s="105">
        <v>0</v>
      </c>
      <c r="Q7" s="105">
        <v>0</v>
      </c>
      <c r="R7" s="105">
        <v>0</v>
      </c>
      <c r="S7" s="105">
        <v>0</v>
      </c>
      <c r="T7" s="104">
        <v>0</v>
      </c>
      <c r="U7" s="105">
        <v>0</v>
      </c>
      <c r="V7" s="105">
        <v>0</v>
      </c>
      <c r="W7" s="106">
        <v>0</v>
      </c>
    </row>
    <row r="8" spans="1:23" x14ac:dyDescent="0.15">
      <c r="A8" s="101"/>
      <c r="B8" s="100" t="s">
        <v>103</v>
      </c>
      <c r="C8" s="100"/>
      <c r="D8" s="104"/>
      <c r="E8" s="105"/>
      <c r="F8" s="105"/>
      <c r="G8" s="106"/>
      <c r="H8" s="105">
        <v>15000</v>
      </c>
      <c r="I8" s="105">
        <v>15000</v>
      </c>
      <c r="J8" s="105">
        <v>15000</v>
      </c>
      <c r="K8" s="105">
        <v>15000</v>
      </c>
      <c r="L8" s="104"/>
      <c r="M8" s="105"/>
      <c r="N8" s="105"/>
      <c r="O8" s="106"/>
      <c r="P8" s="105"/>
      <c r="Q8" s="105"/>
      <c r="R8" s="105"/>
      <c r="S8" s="105"/>
      <c r="T8" s="104"/>
      <c r="U8" s="105"/>
      <c r="V8" s="105"/>
      <c r="W8" s="106"/>
    </row>
    <row r="9" spans="1:23" x14ac:dyDescent="0.15">
      <c r="A9" s="101"/>
      <c r="B9" s="100" t="s">
        <v>115</v>
      </c>
      <c r="C9" s="100"/>
      <c r="D9" s="104"/>
      <c r="E9" s="105"/>
      <c r="F9" s="105"/>
      <c r="G9" s="106"/>
      <c r="H9" s="105"/>
      <c r="I9" s="105"/>
      <c r="J9" s="105"/>
      <c r="K9" s="105"/>
      <c r="L9" s="104"/>
      <c r="M9" s="105"/>
      <c r="N9" s="105"/>
      <c r="O9" s="106"/>
      <c r="P9" s="105"/>
      <c r="Q9" s="105"/>
      <c r="R9" s="105"/>
      <c r="S9" s="105"/>
      <c r="T9" s="104"/>
      <c r="U9" s="105"/>
      <c r="V9" s="105"/>
      <c r="W9" s="106"/>
    </row>
    <row r="10" spans="1:23" x14ac:dyDescent="0.15">
      <c r="A10" s="101"/>
      <c r="B10" s="100" t="s">
        <v>38</v>
      </c>
      <c r="C10" s="100"/>
      <c r="D10" s="104">
        <v>5219.59</v>
      </c>
      <c r="E10" s="105">
        <v>4755.74</v>
      </c>
      <c r="F10" s="105">
        <f>1528*3</f>
        <v>4584</v>
      </c>
      <c r="G10" s="106">
        <v>7368.6315818181829</v>
      </c>
      <c r="H10" s="105">
        <v>5267.3314155844164</v>
      </c>
      <c r="I10" s="105">
        <v>4759.4000454545467</v>
      </c>
      <c r="J10" s="105">
        <f>2030*3</f>
        <v>6090</v>
      </c>
      <c r="K10" s="105">
        <v>7374.7299818181818</v>
      </c>
      <c r="L10" s="104">
        <v>5267.3314155844164</v>
      </c>
      <c r="M10" s="105">
        <v>4759.4000454545467</v>
      </c>
      <c r="N10" s="105">
        <f>2030*3</f>
        <v>6090</v>
      </c>
      <c r="O10" s="106">
        <v>7374.7299818181818</v>
      </c>
      <c r="P10" s="105">
        <v>5267.3314155844164</v>
      </c>
      <c r="Q10" s="105">
        <v>4759.4000454545467</v>
      </c>
      <c r="R10" s="105">
        <f>2030*3</f>
        <v>6090</v>
      </c>
      <c r="S10" s="105">
        <v>7374.7299818181818</v>
      </c>
      <c r="T10" s="104">
        <v>5267.3314155844164</v>
      </c>
      <c r="U10" s="105">
        <v>4759.4000454545467</v>
      </c>
      <c r="V10" s="105">
        <f>2030*3</f>
        <v>6090</v>
      </c>
      <c r="W10" s="106">
        <v>7374.7299818181818</v>
      </c>
    </row>
    <row r="11" spans="1:23" x14ac:dyDescent="0.15">
      <c r="A11" s="101"/>
      <c r="B11" s="100"/>
      <c r="C11" s="100" t="s">
        <v>51</v>
      </c>
      <c r="D11" s="104"/>
      <c r="E11" s="105"/>
      <c r="F11" s="105"/>
      <c r="G11" s="106"/>
      <c r="H11" s="105"/>
      <c r="I11" s="105"/>
      <c r="J11" s="105"/>
      <c r="K11" s="105"/>
      <c r="L11" s="107">
        <f t="shared" ref="L11:W11" si="0">L10/L17</f>
        <v>0.13495679746901892</v>
      </c>
      <c r="M11" s="108">
        <f t="shared" si="0"/>
        <v>0.1200668030316791</v>
      </c>
      <c r="N11" s="108">
        <f t="shared" si="0"/>
        <v>0.15603477961432505</v>
      </c>
      <c r="O11" s="109">
        <f t="shared" si="0"/>
        <v>0.19195068552506567</v>
      </c>
      <c r="P11" s="107">
        <f t="shared" si="0"/>
        <v>0.13495679746901892</v>
      </c>
      <c r="Q11" s="108">
        <f t="shared" si="0"/>
        <v>0.12194284682904907</v>
      </c>
      <c r="R11" s="108">
        <f t="shared" si="0"/>
        <v>0.15603477961432505</v>
      </c>
      <c r="S11" s="109">
        <f t="shared" si="0"/>
        <v>0.19195068552506567</v>
      </c>
      <c r="T11" s="107">
        <f t="shared" si="0"/>
        <v>0.13709896885741604</v>
      </c>
      <c r="U11" s="108">
        <f t="shared" si="0"/>
        <v>0.1200668030316791</v>
      </c>
      <c r="V11" s="108">
        <f t="shared" si="0"/>
        <v>0.15603477961432505</v>
      </c>
      <c r="W11" s="109">
        <f t="shared" si="0"/>
        <v>0.18895145606373653</v>
      </c>
    </row>
    <row r="12" spans="1:23" x14ac:dyDescent="0.15">
      <c r="A12" s="101"/>
      <c r="B12" s="100" t="s">
        <v>59</v>
      </c>
      <c r="C12" s="100"/>
      <c r="D12" s="104"/>
      <c r="E12" s="105"/>
      <c r="F12" s="105"/>
      <c r="G12" s="106"/>
      <c r="H12" s="105">
        <v>12500</v>
      </c>
      <c r="I12" s="105"/>
      <c r="J12" s="105"/>
      <c r="K12" s="105"/>
      <c r="L12" s="101"/>
      <c r="M12" s="100"/>
      <c r="N12" s="100"/>
      <c r="O12" s="102"/>
      <c r="P12" s="100"/>
      <c r="Q12" s="100"/>
      <c r="R12" s="100"/>
      <c r="S12" s="100"/>
      <c r="T12" s="101"/>
      <c r="U12" s="100"/>
      <c r="V12" s="100"/>
      <c r="W12" s="102"/>
    </row>
    <row r="13" spans="1:23" x14ac:dyDescent="0.15">
      <c r="A13" s="101"/>
      <c r="B13" s="100" t="s">
        <v>60</v>
      </c>
      <c r="C13" s="100"/>
      <c r="D13" s="104"/>
      <c r="E13" s="105"/>
      <c r="F13" s="105"/>
      <c r="G13" s="106"/>
      <c r="H13" s="105">
        <v>25000</v>
      </c>
      <c r="I13" s="105"/>
      <c r="J13" s="105"/>
      <c r="K13" s="105"/>
      <c r="L13" s="101"/>
      <c r="M13" s="100"/>
      <c r="N13" s="100"/>
      <c r="O13" s="102"/>
      <c r="P13" s="100"/>
      <c r="Q13" s="100"/>
      <c r="R13" s="100"/>
      <c r="S13" s="100"/>
      <c r="T13" s="101"/>
      <c r="U13" s="100"/>
      <c r="V13" s="100"/>
      <c r="W13" s="102"/>
    </row>
    <row r="14" spans="1:23" x14ac:dyDescent="0.15">
      <c r="A14" s="101"/>
      <c r="B14" s="100" t="s">
        <v>109</v>
      </c>
      <c r="C14" s="100"/>
      <c r="D14" s="104">
        <f>SUM(D6:D13)</f>
        <v>38419.919999999998</v>
      </c>
      <c r="E14" s="105">
        <f t="shared" ref="E14:K14" si="1">SUM(E6:E13)</f>
        <v>39029.759999999995</v>
      </c>
      <c r="F14" s="105">
        <f t="shared" si="1"/>
        <v>43613.760000000009</v>
      </c>
      <c r="G14" s="106">
        <f t="shared" si="1"/>
        <v>45788.551581818188</v>
      </c>
      <c r="H14" s="105">
        <f t="shared" si="1"/>
        <v>62573.587415584407</v>
      </c>
      <c r="I14" s="105">
        <f t="shared" si="1"/>
        <v>19759.400045454546</v>
      </c>
      <c r="J14" s="105">
        <f t="shared" si="1"/>
        <v>21090</v>
      </c>
      <c r="K14" s="105">
        <f t="shared" si="1"/>
        <v>22374.729981818182</v>
      </c>
      <c r="L14" s="104">
        <f t="shared" ref="L14:W14" si="2">SUM(L6:L13)</f>
        <v>5267.4663723818858</v>
      </c>
      <c r="M14" s="105">
        <f t="shared" si="2"/>
        <v>4759.5201122575781</v>
      </c>
      <c r="N14" s="105">
        <f t="shared" si="2"/>
        <v>6090.1560347796139</v>
      </c>
      <c r="O14" s="106">
        <f t="shared" si="2"/>
        <v>7374.9219325037066</v>
      </c>
      <c r="P14" s="105">
        <f t="shared" si="2"/>
        <v>5267.4663723818858</v>
      </c>
      <c r="Q14" s="105">
        <f t="shared" si="2"/>
        <v>4759.521988301376</v>
      </c>
      <c r="R14" s="105">
        <f t="shared" si="2"/>
        <v>6090.1560347796139</v>
      </c>
      <c r="S14" s="105">
        <f t="shared" si="2"/>
        <v>7374.9219325037066</v>
      </c>
      <c r="T14" s="104">
        <f t="shared" si="2"/>
        <v>5267.468514553274</v>
      </c>
      <c r="U14" s="105">
        <f t="shared" si="2"/>
        <v>4759.5201122575781</v>
      </c>
      <c r="V14" s="105">
        <f t="shared" si="2"/>
        <v>6090.1560347796139</v>
      </c>
      <c r="W14" s="106">
        <f t="shared" si="2"/>
        <v>7374.9189332742453</v>
      </c>
    </row>
    <row r="15" spans="1:23" x14ac:dyDescent="0.15">
      <c r="A15" s="101"/>
      <c r="B15" s="100"/>
      <c r="C15" s="100"/>
      <c r="D15" s="104"/>
      <c r="E15" s="105"/>
      <c r="F15" s="105"/>
      <c r="G15" s="106"/>
      <c r="H15" s="105"/>
      <c r="I15" s="105"/>
      <c r="J15" s="105"/>
      <c r="K15" s="105"/>
      <c r="L15" s="101"/>
      <c r="M15" s="100"/>
      <c r="N15" s="100"/>
      <c r="O15" s="102"/>
      <c r="P15" s="100"/>
      <c r="Q15" s="100"/>
      <c r="R15" s="100"/>
      <c r="S15" s="100"/>
      <c r="T15" s="101"/>
      <c r="U15" s="100"/>
      <c r="V15" s="100"/>
      <c r="W15" s="102"/>
    </row>
    <row r="16" spans="1:23" x14ac:dyDescent="0.15">
      <c r="A16" s="101" t="s">
        <v>32</v>
      </c>
      <c r="B16" s="100"/>
      <c r="C16" s="100"/>
      <c r="D16" s="104"/>
      <c r="E16" s="105"/>
      <c r="F16" s="105"/>
      <c r="G16" s="106"/>
      <c r="H16" s="105"/>
      <c r="I16" s="105"/>
      <c r="J16" s="105"/>
      <c r="K16" s="105"/>
      <c r="L16" s="101"/>
      <c r="M16" s="100"/>
      <c r="N16" s="100"/>
      <c r="O16" s="102"/>
      <c r="P16" s="100"/>
      <c r="Q16" s="100"/>
      <c r="R16" s="100"/>
      <c r="S16" s="100"/>
      <c r="T16" s="101"/>
      <c r="U16" s="100"/>
      <c r="V16" s="100"/>
      <c r="W16" s="102"/>
    </row>
    <row r="17" spans="1:25" x14ac:dyDescent="0.15">
      <c r="A17" s="101"/>
      <c r="B17" s="100" t="s">
        <v>33</v>
      </c>
      <c r="C17" s="100"/>
      <c r="D17" s="104">
        <v>38419.919999999998</v>
      </c>
      <c r="E17" s="105">
        <v>39029.759999999995</v>
      </c>
      <c r="F17" s="105">
        <v>39029.760000000002</v>
      </c>
      <c r="G17" s="106">
        <v>38419.920000000006</v>
      </c>
      <c r="H17" s="105">
        <v>39029.760000000002</v>
      </c>
      <c r="I17" s="105">
        <v>39029.760000000002</v>
      </c>
      <c r="J17" s="105">
        <v>39639.600000000006</v>
      </c>
      <c r="K17" s="110">
        <f>609.84*K3</f>
        <v>38419.920000000006</v>
      </c>
      <c r="L17" s="111">
        <f t="shared" ref="L17:Q17" si="3">609.84*L3</f>
        <v>39029.760000000002</v>
      </c>
      <c r="M17" s="110">
        <f t="shared" si="3"/>
        <v>39639.599999999999</v>
      </c>
      <c r="N17" s="110">
        <f t="shared" si="3"/>
        <v>39029.760000000002</v>
      </c>
      <c r="O17" s="112">
        <f t="shared" si="3"/>
        <v>38419.920000000006</v>
      </c>
      <c r="P17" s="110">
        <f t="shared" si="3"/>
        <v>39029.760000000002</v>
      </c>
      <c r="Q17" s="110">
        <f t="shared" si="3"/>
        <v>39029.760000000002</v>
      </c>
      <c r="R17" s="110">
        <f t="shared" ref="R17:W17" si="4">609.84*R3</f>
        <v>39029.760000000002</v>
      </c>
      <c r="S17" s="110">
        <f t="shared" si="4"/>
        <v>38419.920000000006</v>
      </c>
      <c r="T17" s="111">
        <f t="shared" si="4"/>
        <v>38419.920000000006</v>
      </c>
      <c r="U17" s="110">
        <f t="shared" si="4"/>
        <v>39639.599999999999</v>
      </c>
      <c r="V17" s="110">
        <f t="shared" si="4"/>
        <v>39029.760000000002</v>
      </c>
      <c r="W17" s="112">
        <f t="shared" si="4"/>
        <v>39029.760000000002</v>
      </c>
      <c r="X17" s="162">
        <v>48.4</v>
      </c>
      <c r="Y17" s="103" t="s">
        <v>119</v>
      </c>
    </row>
    <row r="18" spans="1:25" x14ac:dyDescent="0.15">
      <c r="A18" s="101"/>
      <c r="B18" s="100" t="s">
        <v>128</v>
      </c>
      <c r="C18" s="100"/>
      <c r="D18" s="104">
        <v>0</v>
      </c>
      <c r="E18" s="105">
        <v>0</v>
      </c>
      <c r="F18" s="105">
        <v>0</v>
      </c>
      <c r="G18" s="106">
        <v>0</v>
      </c>
      <c r="H18" s="105">
        <v>0</v>
      </c>
      <c r="I18" s="105">
        <v>0</v>
      </c>
      <c r="J18" s="105">
        <v>0</v>
      </c>
      <c r="K18" s="105">
        <v>0</v>
      </c>
      <c r="L18" s="104">
        <v>0</v>
      </c>
      <c r="M18" s="105">
        <v>0</v>
      </c>
      <c r="N18" s="105">
        <v>0</v>
      </c>
      <c r="O18" s="106">
        <v>0</v>
      </c>
      <c r="P18" s="105">
        <v>0</v>
      </c>
      <c r="Q18" s="105">
        <v>0</v>
      </c>
      <c r="R18" s="105">
        <v>0</v>
      </c>
      <c r="S18" s="105">
        <v>0</v>
      </c>
      <c r="T18" s="104">
        <v>0</v>
      </c>
      <c r="U18" s="105">
        <v>0</v>
      </c>
      <c r="V18" s="105">
        <v>0</v>
      </c>
      <c r="W18" s="106">
        <v>0</v>
      </c>
    </row>
    <row r="19" spans="1:25" x14ac:dyDescent="0.15">
      <c r="A19" s="101"/>
      <c r="B19" s="100" t="s">
        <v>109</v>
      </c>
      <c r="C19" s="100"/>
      <c r="D19" s="104">
        <f t="shared" ref="D19:K19" si="5">SUM(D17:D18)</f>
        <v>38419.919999999998</v>
      </c>
      <c r="E19" s="105">
        <f t="shared" si="5"/>
        <v>39029.759999999995</v>
      </c>
      <c r="F19" s="105">
        <f t="shared" si="5"/>
        <v>39029.760000000002</v>
      </c>
      <c r="G19" s="106">
        <f t="shared" si="5"/>
        <v>38419.920000000006</v>
      </c>
      <c r="H19" s="105">
        <f t="shared" si="5"/>
        <v>39029.760000000002</v>
      </c>
      <c r="I19" s="105">
        <f t="shared" si="5"/>
        <v>39029.760000000002</v>
      </c>
      <c r="J19" s="105">
        <f t="shared" si="5"/>
        <v>39639.600000000006</v>
      </c>
      <c r="K19" s="105">
        <f t="shared" si="5"/>
        <v>38419.920000000006</v>
      </c>
      <c r="L19" s="104">
        <f t="shared" ref="L19:Q19" si="6">SUM(L17:L18)</f>
        <v>39029.760000000002</v>
      </c>
      <c r="M19" s="105">
        <f t="shared" si="6"/>
        <v>39639.599999999999</v>
      </c>
      <c r="N19" s="105">
        <f t="shared" si="6"/>
        <v>39029.760000000002</v>
      </c>
      <c r="O19" s="106">
        <f t="shared" si="6"/>
        <v>38419.920000000006</v>
      </c>
      <c r="P19" s="105">
        <f t="shared" si="6"/>
        <v>39029.760000000002</v>
      </c>
      <c r="Q19" s="105">
        <f t="shared" si="6"/>
        <v>39029.760000000002</v>
      </c>
      <c r="R19" s="105">
        <f t="shared" ref="R19:W19" si="7">SUM(R17:R18)</f>
        <v>39029.760000000002</v>
      </c>
      <c r="S19" s="105">
        <f t="shared" si="7"/>
        <v>38419.920000000006</v>
      </c>
      <c r="T19" s="104">
        <f t="shared" si="7"/>
        <v>38419.920000000006</v>
      </c>
      <c r="U19" s="105">
        <f t="shared" si="7"/>
        <v>39639.599999999999</v>
      </c>
      <c r="V19" s="105">
        <f t="shared" si="7"/>
        <v>39029.760000000002</v>
      </c>
      <c r="W19" s="106">
        <f t="shared" si="7"/>
        <v>39029.760000000002</v>
      </c>
    </row>
    <row r="20" spans="1:25" x14ac:dyDescent="0.15">
      <c r="A20" s="101"/>
      <c r="B20" s="100"/>
      <c r="C20" s="100"/>
      <c r="D20" s="104"/>
      <c r="E20" s="105"/>
      <c r="F20" s="105"/>
      <c r="G20" s="106"/>
      <c r="H20" s="105"/>
      <c r="I20" s="105"/>
      <c r="J20" s="105"/>
      <c r="K20" s="105"/>
      <c r="L20" s="101"/>
      <c r="M20" s="100"/>
      <c r="N20" s="100"/>
      <c r="O20" s="102"/>
      <c r="P20" s="100"/>
      <c r="Q20" s="100"/>
      <c r="R20" s="100"/>
      <c r="S20" s="100"/>
      <c r="T20" s="101"/>
      <c r="U20" s="100"/>
      <c r="V20" s="100"/>
      <c r="W20" s="102"/>
    </row>
    <row r="21" spans="1:25" x14ac:dyDescent="0.15">
      <c r="A21" s="101" t="s">
        <v>52</v>
      </c>
      <c r="B21" s="100"/>
      <c r="C21" s="100"/>
      <c r="D21" s="104">
        <v>0</v>
      </c>
      <c r="E21" s="105">
        <v>66766</v>
      </c>
      <c r="F21" s="105">
        <f>E21-F6</f>
        <v>35542.191999999995</v>
      </c>
      <c r="G21" s="106">
        <f>F21-G6</f>
        <v>4806.2559999999903</v>
      </c>
      <c r="H21" s="105">
        <v>0</v>
      </c>
      <c r="I21" s="105">
        <v>0</v>
      </c>
      <c r="J21" s="105">
        <v>0</v>
      </c>
      <c r="K21" s="105">
        <v>0</v>
      </c>
      <c r="L21" s="104">
        <v>0</v>
      </c>
      <c r="M21" s="105">
        <v>0</v>
      </c>
      <c r="N21" s="105">
        <v>0</v>
      </c>
      <c r="O21" s="106">
        <v>0</v>
      </c>
      <c r="P21" s="105">
        <v>0</v>
      </c>
      <c r="Q21" s="105">
        <v>0</v>
      </c>
      <c r="R21" s="105">
        <v>0</v>
      </c>
      <c r="S21" s="105">
        <v>0</v>
      </c>
      <c r="T21" s="104">
        <v>0</v>
      </c>
      <c r="U21" s="105">
        <v>0</v>
      </c>
      <c r="V21" s="105">
        <v>0</v>
      </c>
      <c r="W21" s="106">
        <v>0</v>
      </c>
    </row>
    <row r="22" spans="1:25" x14ac:dyDescent="0.15">
      <c r="A22" s="101" t="s">
        <v>102</v>
      </c>
      <c r="B22" s="100"/>
      <c r="C22" s="100"/>
      <c r="D22" s="104">
        <v>0</v>
      </c>
      <c r="E22" s="105">
        <v>16692</v>
      </c>
      <c r="F22" s="105">
        <v>10030.11</v>
      </c>
      <c r="G22" s="106">
        <f>F22-G7</f>
        <v>2346.1259999999993</v>
      </c>
      <c r="H22" s="105">
        <v>0</v>
      </c>
      <c r="I22" s="105">
        <v>0</v>
      </c>
      <c r="J22" s="105">
        <v>0</v>
      </c>
      <c r="K22" s="105">
        <v>0</v>
      </c>
      <c r="L22" s="104">
        <v>0</v>
      </c>
      <c r="M22" s="105">
        <v>0</v>
      </c>
      <c r="N22" s="105">
        <v>0</v>
      </c>
      <c r="O22" s="106">
        <v>0</v>
      </c>
      <c r="P22" s="105">
        <v>0</v>
      </c>
      <c r="Q22" s="105">
        <v>0</v>
      </c>
      <c r="R22" s="105">
        <v>0</v>
      </c>
      <c r="S22" s="105">
        <v>0</v>
      </c>
      <c r="T22" s="104">
        <v>0</v>
      </c>
      <c r="U22" s="105">
        <v>0</v>
      </c>
      <c r="V22" s="105">
        <v>0</v>
      </c>
      <c r="W22" s="106">
        <v>0</v>
      </c>
    </row>
    <row r="23" spans="1:25" x14ac:dyDescent="0.15">
      <c r="A23" s="113" t="s">
        <v>121</v>
      </c>
      <c r="B23" s="114"/>
      <c r="C23" s="114"/>
      <c r="D23" s="113"/>
      <c r="E23" s="115"/>
      <c r="F23" s="115">
        <f>ROUND(E23+F14-F19,0)</f>
        <v>4584</v>
      </c>
      <c r="G23" s="116">
        <f>ROUND(F23+G14-G19,0)</f>
        <v>11953</v>
      </c>
      <c r="H23" s="115">
        <f t="shared" ref="H23:W23" si="8">G23+H14-H19</f>
        <v>35496.827415584405</v>
      </c>
      <c r="I23" s="115">
        <f t="shared" si="8"/>
        <v>16226.467461038948</v>
      </c>
      <c r="J23" s="115">
        <f t="shared" si="8"/>
        <v>-2323.1325389610574</v>
      </c>
      <c r="K23" s="115">
        <f t="shared" si="8"/>
        <v>-18368.322557142881</v>
      </c>
      <c r="L23" s="117">
        <f t="shared" si="8"/>
        <v>-52130.616184760998</v>
      </c>
      <c r="M23" s="115">
        <f t="shared" si="8"/>
        <v>-87010.69607250343</v>
      </c>
      <c r="N23" s="115">
        <f t="shared" si="8"/>
        <v>-119950.30003772382</v>
      </c>
      <c r="O23" s="116">
        <f t="shared" si="8"/>
        <v>-150995.29810522011</v>
      </c>
      <c r="P23" s="115">
        <f t="shared" si="8"/>
        <v>-184757.59173283822</v>
      </c>
      <c r="Q23" s="115">
        <f t="shared" si="8"/>
        <v>-219027.82974453687</v>
      </c>
      <c r="R23" s="115">
        <f t="shared" si="8"/>
        <v>-251967.43370975726</v>
      </c>
      <c r="S23" s="115">
        <f t="shared" si="8"/>
        <v>-283012.43177725357</v>
      </c>
      <c r="T23" s="117">
        <f t="shared" si="8"/>
        <v>-316164.88326270028</v>
      </c>
      <c r="U23" s="115">
        <f t="shared" si="8"/>
        <v>-351044.96315044269</v>
      </c>
      <c r="V23" s="115">
        <f t="shared" si="8"/>
        <v>-383984.56711566309</v>
      </c>
      <c r="W23" s="116">
        <f t="shared" si="8"/>
        <v>-415639.40818238887</v>
      </c>
    </row>
    <row r="24" spans="1:25" x14ac:dyDescent="0.15">
      <c r="A24" s="101"/>
      <c r="B24" s="100"/>
      <c r="C24" s="100"/>
      <c r="D24" s="101"/>
      <c r="E24" s="100"/>
      <c r="F24" s="100"/>
      <c r="G24" s="102"/>
      <c r="H24" s="100"/>
      <c r="I24" s="100"/>
      <c r="J24" s="100"/>
      <c r="K24" s="100"/>
      <c r="L24" s="101"/>
      <c r="M24" s="100"/>
      <c r="N24" s="100"/>
      <c r="O24" s="102"/>
      <c r="P24" s="100"/>
      <c r="Q24" s="100"/>
      <c r="R24" s="100"/>
      <c r="S24" s="100"/>
      <c r="T24" s="101"/>
      <c r="U24" s="100"/>
      <c r="V24" s="100"/>
      <c r="W24" s="102"/>
    </row>
    <row r="25" spans="1:25" x14ac:dyDescent="0.15">
      <c r="A25" s="169" t="s">
        <v>112</v>
      </c>
      <c r="B25" s="119"/>
      <c r="C25" s="119"/>
      <c r="D25" s="120"/>
      <c r="E25" s="119"/>
      <c r="F25" s="119"/>
      <c r="G25" s="121"/>
      <c r="H25" s="119"/>
      <c r="I25" s="119"/>
      <c r="J25" s="119"/>
      <c r="K25" s="119"/>
      <c r="L25" s="120"/>
      <c r="M25" s="119"/>
      <c r="N25" s="119"/>
      <c r="O25" s="121"/>
      <c r="P25" s="119"/>
      <c r="Q25" s="119"/>
      <c r="R25" s="139"/>
      <c r="S25" s="119"/>
      <c r="T25" s="120"/>
      <c r="U25" s="119"/>
      <c r="V25" s="139"/>
      <c r="W25" s="121"/>
    </row>
    <row r="26" spans="1:25" x14ac:dyDescent="0.15">
      <c r="A26" s="101"/>
      <c r="B26" s="100" t="s">
        <v>30</v>
      </c>
      <c r="C26" s="100"/>
      <c r="D26" s="101"/>
      <c r="E26" s="100"/>
      <c r="F26" s="110">
        <f>IF(ROUND(0.8*(F33),2)&lt;E37,ROUND(0.8*(F33),2),E37)</f>
        <v>29016</v>
      </c>
      <c r="G26" s="112">
        <f>IF(ROUND(0.8*(G33),2)&lt;F37,ROUND(0.8*(G33),2),F37)</f>
        <v>29016</v>
      </c>
      <c r="H26" s="110">
        <f t="shared" ref="H26:W26" si="9">IF(ROUND(0.8*(H33),2)&lt;G37,ROUND(0.8*(H33),2),G37)</f>
        <v>29016</v>
      </c>
      <c r="I26" s="110">
        <f t="shared" si="9"/>
        <v>29016</v>
      </c>
      <c r="J26" s="110">
        <f t="shared" si="9"/>
        <v>29016</v>
      </c>
      <c r="K26" s="110">
        <f t="shared" si="9"/>
        <v>29016</v>
      </c>
      <c r="L26" s="111">
        <f t="shared" si="9"/>
        <v>29016</v>
      </c>
      <c r="M26" s="110">
        <f t="shared" si="9"/>
        <v>29016</v>
      </c>
      <c r="N26" s="110">
        <f t="shared" si="9"/>
        <v>29016</v>
      </c>
      <c r="O26" s="112">
        <f t="shared" si="9"/>
        <v>29016</v>
      </c>
      <c r="P26" s="110">
        <f t="shared" si="9"/>
        <v>29016</v>
      </c>
      <c r="Q26" s="110">
        <f t="shared" si="9"/>
        <v>29016</v>
      </c>
      <c r="R26" s="140">
        <f t="shared" si="9"/>
        <v>11808</v>
      </c>
      <c r="S26" s="110">
        <f t="shared" si="9"/>
        <v>0</v>
      </c>
      <c r="T26" s="111">
        <f t="shared" si="9"/>
        <v>0</v>
      </c>
      <c r="U26" s="110">
        <f t="shared" si="9"/>
        <v>0</v>
      </c>
      <c r="V26" s="166">
        <f t="shared" si="9"/>
        <v>0</v>
      </c>
      <c r="W26" s="168">
        <f t="shared" si="9"/>
        <v>0</v>
      </c>
    </row>
    <row r="27" spans="1:25" x14ac:dyDescent="0.15">
      <c r="A27" s="101"/>
      <c r="B27" s="100" t="s">
        <v>113</v>
      </c>
      <c r="C27" s="100"/>
      <c r="D27" s="101"/>
      <c r="E27" s="100"/>
      <c r="F27" s="110">
        <f>IF(ROUND(0.2*(F33),2)&lt;E38,ROUND(0.2*(F33),2),E38)</f>
        <v>7254</v>
      </c>
      <c r="G27" s="112">
        <f>IF(ROUND(0.2*(G33),2)&lt;F38,ROUND(0.2*(G33),2),F38)</f>
        <v>7254</v>
      </c>
      <c r="H27" s="110">
        <f t="shared" ref="H27:W27" si="10">IF(ROUND(0.2*(H33),2)&lt;G38,ROUND(0.2*(H33),2),G38)</f>
        <v>7254</v>
      </c>
      <c r="I27" s="110">
        <f t="shared" si="10"/>
        <v>7254</v>
      </c>
      <c r="J27" s="110">
        <f t="shared" si="10"/>
        <v>7254</v>
      </c>
      <c r="K27" s="110">
        <f t="shared" si="10"/>
        <v>7254</v>
      </c>
      <c r="L27" s="111">
        <f t="shared" si="10"/>
        <v>7254</v>
      </c>
      <c r="M27" s="110">
        <f t="shared" si="10"/>
        <v>7254</v>
      </c>
      <c r="N27" s="110">
        <f t="shared" si="10"/>
        <v>7254</v>
      </c>
      <c r="O27" s="112">
        <f t="shared" si="10"/>
        <v>7254</v>
      </c>
      <c r="P27" s="110">
        <f t="shared" si="10"/>
        <v>7254</v>
      </c>
      <c r="Q27" s="110">
        <f t="shared" si="10"/>
        <v>7254</v>
      </c>
      <c r="R27" s="140">
        <f t="shared" si="10"/>
        <v>2952</v>
      </c>
      <c r="S27" s="110">
        <f t="shared" si="10"/>
        <v>0</v>
      </c>
      <c r="T27" s="111">
        <f t="shared" si="10"/>
        <v>0</v>
      </c>
      <c r="U27" s="110">
        <f t="shared" si="10"/>
        <v>0</v>
      </c>
      <c r="V27" s="140">
        <f t="shared" si="10"/>
        <v>0</v>
      </c>
      <c r="W27" s="112">
        <f t="shared" si="10"/>
        <v>0</v>
      </c>
    </row>
    <row r="28" spans="1:25" x14ac:dyDescent="0.15">
      <c r="A28" s="101"/>
      <c r="B28" s="100" t="s">
        <v>80</v>
      </c>
      <c r="C28" s="100"/>
      <c r="D28" s="101"/>
      <c r="E28" s="100"/>
      <c r="F28" s="110"/>
      <c r="G28" s="112"/>
      <c r="H28" s="110"/>
      <c r="I28" s="110"/>
      <c r="J28" s="110"/>
      <c r="K28" s="110"/>
      <c r="L28" s="111"/>
      <c r="M28" s="110"/>
      <c r="N28" s="110"/>
      <c r="O28" s="112"/>
      <c r="P28" s="110"/>
      <c r="Q28" s="110"/>
      <c r="R28" s="140"/>
      <c r="S28" s="110"/>
      <c r="T28" s="111"/>
      <c r="U28" s="110"/>
      <c r="V28" s="140"/>
      <c r="W28" s="112"/>
    </row>
    <row r="29" spans="1:25" x14ac:dyDescent="0.15">
      <c r="A29" s="101"/>
      <c r="B29" s="100" t="s">
        <v>38</v>
      </c>
      <c r="C29" s="100"/>
      <c r="D29" s="101"/>
      <c r="E29" s="100"/>
      <c r="F29" s="110">
        <f>F30*F33</f>
        <v>362.7</v>
      </c>
      <c r="G29" s="112">
        <f>G30*G33</f>
        <v>362.7</v>
      </c>
      <c r="H29" s="110">
        <f>H30*H33</f>
        <v>1088.0999999999999</v>
      </c>
      <c r="I29" s="110">
        <f>I30*I33</f>
        <v>3627</v>
      </c>
      <c r="J29" s="110">
        <f t="shared" ref="J29:Q29" si="11">J30*J33</f>
        <v>3627</v>
      </c>
      <c r="K29" s="110">
        <f t="shared" si="11"/>
        <v>4352.3999999999996</v>
      </c>
      <c r="L29" s="111">
        <f t="shared" si="11"/>
        <v>1088.0999999999999</v>
      </c>
      <c r="M29" s="110">
        <f t="shared" si="11"/>
        <v>3627</v>
      </c>
      <c r="N29" s="110">
        <f t="shared" si="11"/>
        <v>3627</v>
      </c>
      <c r="O29" s="112">
        <f t="shared" si="11"/>
        <v>4352.3999999999996</v>
      </c>
      <c r="P29" s="110">
        <f t="shared" si="11"/>
        <v>1088.0999999999999</v>
      </c>
      <c r="Q29" s="110">
        <f t="shared" si="11"/>
        <v>3627</v>
      </c>
      <c r="R29" s="140">
        <f t="shared" ref="R29:W29" si="12">R30*R33</f>
        <v>3627</v>
      </c>
      <c r="S29" s="110">
        <f t="shared" si="12"/>
        <v>4352.3999999999996</v>
      </c>
      <c r="T29" s="111">
        <f t="shared" si="12"/>
        <v>1088.0999999999999</v>
      </c>
      <c r="U29" s="110">
        <f t="shared" si="12"/>
        <v>3627</v>
      </c>
      <c r="V29" s="140">
        <f t="shared" si="12"/>
        <v>3627</v>
      </c>
      <c r="W29" s="112">
        <f t="shared" si="12"/>
        <v>4352.3999999999996</v>
      </c>
    </row>
    <row r="30" spans="1:25" x14ac:dyDescent="0.15">
      <c r="A30" s="101"/>
      <c r="B30" s="100"/>
      <c r="C30" s="100" t="s">
        <v>51</v>
      </c>
      <c r="D30" s="101"/>
      <c r="E30" s="100"/>
      <c r="F30" s="108">
        <v>0.01</v>
      </c>
      <c r="G30" s="109">
        <v>0.01</v>
      </c>
      <c r="H30" s="108">
        <v>0.03</v>
      </c>
      <c r="I30" s="108">
        <v>0.1</v>
      </c>
      <c r="J30" s="108">
        <v>0.1</v>
      </c>
      <c r="K30" s="108">
        <v>0.12</v>
      </c>
      <c r="L30" s="107">
        <v>0.03</v>
      </c>
      <c r="M30" s="108">
        <v>0.1</v>
      </c>
      <c r="N30" s="108">
        <v>0.1</v>
      </c>
      <c r="O30" s="109">
        <v>0.12</v>
      </c>
      <c r="P30" s="108">
        <v>0.03</v>
      </c>
      <c r="Q30" s="108">
        <v>0.1</v>
      </c>
      <c r="R30" s="141">
        <v>0.1</v>
      </c>
      <c r="S30" s="108">
        <v>0.12</v>
      </c>
      <c r="T30" s="107">
        <v>0.03</v>
      </c>
      <c r="U30" s="108">
        <v>0.1</v>
      </c>
      <c r="V30" s="141">
        <v>0.1</v>
      </c>
      <c r="W30" s="109">
        <v>0.12</v>
      </c>
    </row>
    <row r="31" spans="1:25" x14ac:dyDescent="0.15">
      <c r="A31" s="101"/>
      <c r="B31" s="100" t="s">
        <v>109</v>
      </c>
      <c r="C31" s="100"/>
      <c r="D31" s="101"/>
      <c r="E31" s="100"/>
      <c r="F31" s="105">
        <f>SUM(F26:F29)</f>
        <v>36632.699999999997</v>
      </c>
      <c r="G31" s="106">
        <f t="shared" ref="G31:S31" si="13">SUM(G26:G29)</f>
        <v>36632.699999999997</v>
      </c>
      <c r="H31" s="105">
        <f t="shared" si="13"/>
        <v>37358.1</v>
      </c>
      <c r="I31" s="105">
        <f t="shared" si="13"/>
        <v>39897</v>
      </c>
      <c r="J31" s="105">
        <f t="shared" si="13"/>
        <v>39897</v>
      </c>
      <c r="K31" s="105">
        <f t="shared" si="13"/>
        <v>40622.400000000001</v>
      </c>
      <c r="L31" s="104">
        <f t="shared" si="13"/>
        <v>37358.1</v>
      </c>
      <c r="M31" s="105">
        <f t="shared" si="13"/>
        <v>39897</v>
      </c>
      <c r="N31" s="105">
        <f t="shared" si="13"/>
        <v>39897</v>
      </c>
      <c r="O31" s="106">
        <f t="shared" si="13"/>
        <v>40622.400000000001</v>
      </c>
      <c r="P31" s="105">
        <f t="shared" si="13"/>
        <v>37358.1</v>
      </c>
      <c r="Q31" s="105">
        <f t="shared" si="13"/>
        <v>39897</v>
      </c>
      <c r="R31" s="142">
        <f t="shared" si="13"/>
        <v>18387</v>
      </c>
      <c r="S31" s="105">
        <f t="shared" si="13"/>
        <v>4352.3999999999996</v>
      </c>
      <c r="T31" s="104">
        <f>SUM(T26:T29)</f>
        <v>1088.0999999999999</v>
      </c>
      <c r="U31" s="105">
        <f>SUM(U26:U29)</f>
        <v>3627</v>
      </c>
      <c r="V31" s="142">
        <f>SUM(V26:V29)</f>
        <v>3627</v>
      </c>
      <c r="W31" s="106">
        <f>SUM(W26:W29)</f>
        <v>4352.3999999999996</v>
      </c>
    </row>
    <row r="32" spans="1:25" x14ac:dyDescent="0.15">
      <c r="A32" s="101"/>
      <c r="B32" s="100"/>
      <c r="C32" s="100"/>
      <c r="D32" s="101"/>
      <c r="E32" s="100"/>
      <c r="F32" s="105"/>
      <c r="G32" s="106" t="s">
        <v>123</v>
      </c>
      <c r="H32" s="105"/>
      <c r="I32" s="105"/>
      <c r="J32" s="100"/>
      <c r="K32" s="100"/>
      <c r="L32" s="101"/>
      <c r="M32" s="100"/>
      <c r="N32" s="100"/>
      <c r="O32" s="102"/>
      <c r="P32" s="100"/>
      <c r="Q32" s="100"/>
      <c r="R32" s="143"/>
      <c r="S32" s="100"/>
      <c r="T32" s="101"/>
      <c r="U32" s="100"/>
      <c r="V32" s="143"/>
      <c r="W32" s="102"/>
    </row>
    <row r="33" spans="1:25" x14ac:dyDescent="0.15">
      <c r="A33" s="101"/>
      <c r="B33" s="100" t="s">
        <v>33</v>
      </c>
      <c r="C33" s="100"/>
      <c r="D33" s="101"/>
      <c r="E33" s="100"/>
      <c r="F33" s="110">
        <f t="shared" ref="F33:W33" si="14">2790*52/4</f>
        <v>36270</v>
      </c>
      <c r="G33" s="112">
        <f t="shared" si="14"/>
        <v>36270</v>
      </c>
      <c r="H33" s="110">
        <f t="shared" si="14"/>
        <v>36270</v>
      </c>
      <c r="I33" s="110">
        <f t="shared" si="14"/>
        <v>36270</v>
      </c>
      <c r="J33" s="110">
        <f t="shared" si="14"/>
        <v>36270</v>
      </c>
      <c r="K33" s="110">
        <f t="shared" si="14"/>
        <v>36270</v>
      </c>
      <c r="L33" s="111">
        <f t="shared" si="14"/>
        <v>36270</v>
      </c>
      <c r="M33" s="110">
        <f t="shared" si="14"/>
        <v>36270</v>
      </c>
      <c r="N33" s="110">
        <f t="shared" si="14"/>
        <v>36270</v>
      </c>
      <c r="O33" s="112">
        <f t="shared" si="14"/>
        <v>36270</v>
      </c>
      <c r="P33" s="110">
        <f t="shared" si="14"/>
        <v>36270</v>
      </c>
      <c r="Q33" s="110">
        <f t="shared" si="14"/>
        <v>36270</v>
      </c>
      <c r="R33" s="110">
        <f t="shared" si="14"/>
        <v>36270</v>
      </c>
      <c r="S33" s="110">
        <f t="shared" si="14"/>
        <v>36270</v>
      </c>
      <c r="T33" s="111">
        <f t="shared" si="14"/>
        <v>36270</v>
      </c>
      <c r="U33" s="110">
        <f t="shared" si="14"/>
        <v>36270</v>
      </c>
      <c r="V33" s="110">
        <f t="shared" si="14"/>
        <v>36270</v>
      </c>
      <c r="W33" s="112">
        <f t="shared" si="14"/>
        <v>36270</v>
      </c>
      <c r="X33" s="162">
        <v>46.5</v>
      </c>
      <c r="Y33" s="103" t="s">
        <v>119</v>
      </c>
    </row>
    <row r="34" spans="1:25" x14ac:dyDescent="0.15">
      <c r="A34" s="101"/>
      <c r="B34" s="100" t="s">
        <v>128</v>
      </c>
      <c r="C34" s="100"/>
      <c r="D34" s="104"/>
      <c r="E34" s="105"/>
      <c r="F34" s="105">
        <v>0</v>
      </c>
      <c r="G34" s="106">
        <v>0</v>
      </c>
      <c r="H34" s="105">
        <v>0</v>
      </c>
      <c r="I34" s="105">
        <v>0</v>
      </c>
      <c r="J34" s="105">
        <v>0</v>
      </c>
      <c r="K34" s="105">
        <v>0</v>
      </c>
      <c r="L34" s="104">
        <v>0</v>
      </c>
      <c r="M34" s="105">
        <v>0</v>
      </c>
      <c r="N34" s="105">
        <v>0</v>
      </c>
      <c r="O34" s="106">
        <v>0</v>
      </c>
      <c r="P34" s="105">
        <v>0</v>
      </c>
      <c r="Q34" s="105">
        <v>0</v>
      </c>
      <c r="R34" s="142">
        <v>0</v>
      </c>
      <c r="S34" s="105">
        <v>0</v>
      </c>
      <c r="T34" s="104">
        <v>0</v>
      </c>
      <c r="U34" s="105">
        <v>0</v>
      </c>
      <c r="V34" s="142">
        <v>0</v>
      </c>
      <c r="W34" s="106">
        <v>0</v>
      </c>
    </row>
    <row r="35" spans="1:25" x14ac:dyDescent="0.15">
      <c r="A35" s="101"/>
      <c r="B35" s="100" t="s">
        <v>109</v>
      </c>
      <c r="C35" s="100"/>
      <c r="D35" s="104"/>
      <c r="E35" s="105"/>
      <c r="F35" s="105">
        <f t="shared" ref="F35:W35" si="15">SUM(F33:F34)</f>
        <v>36270</v>
      </c>
      <c r="G35" s="106">
        <f t="shared" si="15"/>
        <v>36270</v>
      </c>
      <c r="H35" s="105">
        <f t="shared" si="15"/>
        <v>36270</v>
      </c>
      <c r="I35" s="105">
        <f t="shared" si="15"/>
        <v>36270</v>
      </c>
      <c r="J35" s="105">
        <f t="shared" si="15"/>
        <v>36270</v>
      </c>
      <c r="K35" s="105">
        <f t="shared" si="15"/>
        <v>36270</v>
      </c>
      <c r="L35" s="104">
        <f t="shared" si="15"/>
        <v>36270</v>
      </c>
      <c r="M35" s="105">
        <f t="shared" si="15"/>
        <v>36270</v>
      </c>
      <c r="N35" s="105">
        <f t="shared" si="15"/>
        <v>36270</v>
      </c>
      <c r="O35" s="106">
        <f t="shared" si="15"/>
        <v>36270</v>
      </c>
      <c r="P35" s="105">
        <f t="shared" si="15"/>
        <v>36270</v>
      </c>
      <c r="Q35" s="105">
        <f t="shared" si="15"/>
        <v>36270</v>
      </c>
      <c r="R35" s="142">
        <f t="shared" si="15"/>
        <v>36270</v>
      </c>
      <c r="S35" s="105">
        <f t="shared" si="15"/>
        <v>36270</v>
      </c>
      <c r="T35" s="104">
        <f t="shared" si="15"/>
        <v>36270</v>
      </c>
      <c r="U35" s="105">
        <f t="shared" si="15"/>
        <v>36270</v>
      </c>
      <c r="V35" s="142">
        <f t="shared" si="15"/>
        <v>36270</v>
      </c>
      <c r="W35" s="106">
        <f t="shared" si="15"/>
        <v>36270</v>
      </c>
    </row>
    <row r="36" spans="1:25" x14ac:dyDescent="0.15">
      <c r="A36" s="101"/>
      <c r="B36" s="100"/>
      <c r="C36" s="100"/>
      <c r="D36" s="104"/>
      <c r="E36" s="105"/>
      <c r="F36" s="105"/>
      <c r="G36" s="106"/>
      <c r="H36" s="100"/>
      <c r="I36" s="100"/>
      <c r="J36" s="100"/>
      <c r="K36" s="100"/>
      <c r="L36" s="101"/>
      <c r="M36" s="100"/>
      <c r="N36" s="100"/>
      <c r="O36" s="102"/>
      <c r="P36" s="100"/>
      <c r="Q36" s="100"/>
      <c r="R36" s="143"/>
      <c r="S36" s="100"/>
      <c r="T36" s="101"/>
      <c r="U36" s="100"/>
      <c r="V36" s="143"/>
      <c r="W36" s="102"/>
    </row>
    <row r="37" spans="1:25" x14ac:dyDescent="0.15">
      <c r="A37" s="101" t="s">
        <v>52</v>
      </c>
      <c r="B37" s="100"/>
      <c r="C37" s="100"/>
      <c r="D37" s="104"/>
      <c r="E37" s="105">
        <f>360000</f>
        <v>360000</v>
      </c>
      <c r="F37" s="105">
        <f t="shared" ref="F37:W37" si="16">E37-F26</f>
        <v>330984</v>
      </c>
      <c r="G37" s="106">
        <f t="shared" si="16"/>
        <v>301968</v>
      </c>
      <c r="H37" s="105">
        <f t="shared" si="16"/>
        <v>272952</v>
      </c>
      <c r="I37" s="105">
        <f t="shared" si="16"/>
        <v>243936</v>
      </c>
      <c r="J37" s="105">
        <f t="shared" si="16"/>
        <v>214920</v>
      </c>
      <c r="K37" s="105">
        <f t="shared" si="16"/>
        <v>185904</v>
      </c>
      <c r="L37" s="104">
        <f t="shared" si="16"/>
        <v>156888</v>
      </c>
      <c r="M37" s="105">
        <f t="shared" si="16"/>
        <v>127872</v>
      </c>
      <c r="N37" s="105">
        <f t="shared" si="16"/>
        <v>98856</v>
      </c>
      <c r="O37" s="106">
        <f t="shared" si="16"/>
        <v>69840</v>
      </c>
      <c r="P37" s="105">
        <f t="shared" si="16"/>
        <v>40824</v>
      </c>
      <c r="Q37" s="105">
        <f t="shared" si="16"/>
        <v>11808</v>
      </c>
      <c r="R37" s="142">
        <f t="shared" si="16"/>
        <v>0</v>
      </c>
      <c r="S37" s="105">
        <f t="shared" si="16"/>
        <v>0</v>
      </c>
      <c r="T37" s="104">
        <f t="shared" si="16"/>
        <v>0</v>
      </c>
      <c r="U37" s="105">
        <f t="shared" si="16"/>
        <v>0</v>
      </c>
      <c r="V37" s="142">
        <f t="shared" si="16"/>
        <v>0</v>
      </c>
      <c r="W37" s="106">
        <f t="shared" si="16"/>
        <v>0</v>
      </c>
    </row>
    <row r="38" spans="1:25" x14ac:dyDescent="0.15">
      <c r="A38" s="101" t="s">
        <v>116</v>
      </c>
      <c r="B38" s="100"/>
      <c r="C38" s="100"/>
      <c r="D38" s="101"/>
      <c r="E38" s="110">
        <f>90000</f>
        <v>90000</v>
      </c>
      <c r="F38" s="105">
        <f t="shared" ref="F38:W38" si="17">E38-F27</f>
        <v>82746</v>
      </c>
      <c r="G38" s="106">
        <f t="shared" si="17"/>
        <v>75492</v>
      </c>
      <c r="H38" s="105">
        <f t="shared" si="17"/>
        <v>68238</v>
      </c>
      <c r="I38" s="105">
        <f t="shared" si="17"/>
        <v>60984</v>
      </c>
      <c r="J38" s="105">
        <f t="shared" si="17"/>
        <v>53730</v>
      </c>
      <c r="K38" s="105">
        <f t="shared" si="17"/>
        <v>46476</v>
      </c>
      <c r="L38" s="104">
        <f t="shared" si="17"/>
        <v>39222</v>
      </c>
      <c r="M38" s="105">
        <f t="shared" si="17"/>
        <v>31968</v>
      </c>
      <c r="N38" s="105">
        <f t="shared" si="17"/>
        <v>24714</v>
      </c>
      <c r="O38" s="106">
        <f t="shared" si="17"/>
        <v>17460</v>
      </c>
      <c r="P38" s="105">
        <f t="shared" si="17"/>
        <v>10206</v>
      </c>
      <c r="Q38" s="105">
        <f t="shared" si="17"/>
        <v>2952</v>
      </c>
      <c r="R38" s="142">
        <f t="shared" si="17"/>
        <v>0</v>
      </c>
      <c r="S38" s="105">
        <f t="shared" si="17"/>
        <v>0</v>
      </c>
      <c r="T38" s="104">
        <f t="shared" si="17"/>
        <v>0</v>
      </c>
      <c r="U38" s="105">
        <f t="shared" si="17"/>
        <v>0</v>
      </c>
      <c r="V38" s="142">
        <f t="shared" si="17"/>
        <v>0</v>
      </c>
      <c r="W38" s="106">
        <f t="shared" si="17"/>
        <v>0</v>
      </c>
    </row>
    <row r="39" spans="1:25" x14ac:dyDescent="0.15">
      <c r="A39" s="113" t="s">
        <v>121</v>
      </c>
      <c r="B39" s="114"/>
      <c r="C39" s="114"/>
      <c r="D39" s="113"/>
      <c r="E39" s="115"/>
      <c r="F39" s="115">
        <f>ROUND(F31-F35+E39,0)</f>
        <v>363</v>
      </c>
      <c r="G39" s="116">
        <f>ROUND(G31-G35+F39,0)</f>
        <v>726</v>
      </c>
      <c r="H39" s="115">
        <f t="shared" ref="H39:W39" si="18">H31-H35+G39</f>
        <v>1814.0999999999985</v>
      </c>
      <c r="I39" s="115">
        <f t="shared" si="18"/>
        <v>5441.0999999999985</v>
      </c>
      <c r="J39" s="115">
        <f t="shared" si="18"/>
        <v>9068.0999999999985</v>
      </c>
      <c r="K39" s="115">
        <f t="shared" si="18"/>
        <v>13420.5</v>
      </c>
      <c r="L39" s="117">
        <f t="shared" si="18"/>
        <v>14508.599999999999</v>
      </c>
      <c r="M39" s="115">
        <f t="shared" si="18"/>
        <v>18135.599999999999</v>
      </c>
      <c r="N39" s="115">
        <f t="shared" si="18"/>
        <v>21762.6</v>
      </c>
      <c r="O39" s="116">
        <f t="shared" si="18"/>
        <v>26115</v>
      </c>
      <c r="P39" s="115">
        <f t="shared" si="18"/>
        <v>27203.1</v>
      </c>
      <c r="Q39" s="115">
        <f t="shared" si="18"/>
        <v>30830.1</v>
      </c>
      <c r="R39" s="144">
        <f t="shared" si="18"/>
        <v>12947.099999999999</v>
      </c>
      <c r="S39" s="115">
        <f t="shared" si="18"/>
        <v>-18970.5</v>
      </c>
      <c r="T39" s="117">
        <f t="shared" si="18"/>
        <v>-54152.4</v>
      </c>
      <c r="U39" s="115">
        <f t="shared" si="18"/>
        <v>-86795.4</v>
      </c>
      <c r="V39" s="144">
        <f t="shared" si="18"/>
        <v>-119438.39999999999</v>
      </c>
      <c r="W39" s="116">
        <f t="shared" si="18"/>
        <v>-151356</v>
      </c>
    </row>
    <row r="40" spans="1:25" x14ac:dyDescent="0.15">
      <c r="A40" s="131"/>
      <c r="B40" s="130"/>
      <c r="C40" s="130"/>
      <c r="D40" s="131"/>
      <c r="E40" s="130"/>
      <c r="F40" s="130"/>
      <c r="G40" s="132"/>
      <c r="H40" s="130"/>
      <c r="I40" s="130"/>
      <c r="J40" s="130"/>
      <c r="K40" s="130"/>
      <c r="L40" s="131"/>
      <c r="M40" s="130"/>
      <c r="N40" s="130"/>
      <c r="O40" s="132"/>
      <c r="P40" s="130"/>
      <c r="Q40" s="130"/>
      <c r="R40" s="145"/>
      <c r="S40" s="130"/>
      <c r="T40" s="131"/>
      <c r="U40" s="130"/>
      <c r="V40" s="145"/>
      <c r="W40" s="132"/>
    </row>
    <row r="41" spans="1:25" x14ac:dyDescent="0.15">
      <c r="A41" s="99" t="s">
        <v>117</v>
      </c>
      <c r="B41" s="100"/>
      <c r="C41" s="100"/>
      <c r="D41" s="101"/>
      <c r="E41" s="100"/>
      <c r="F41" s="100"/>
      <c r="G41" s="102"/>
      <c r="H41" s="100"/>
      <c r="I41" s="100"/>
      <c r="J41" s="100"/>
      <c r="K41" s="100"/>
      <c r="L41" s="101"/>
      <c r="M41" s="100"/>
      <c r="N41" s="100"/>
      <c r="O41" s="102"/>
      <c r="P41" s="100"/>
      <c r="Q41" s="100"/>
      <c r="R41" s="143"/>
      <c r="S41" s="100"/>
      <c r="T41" s="101"/>
      <c r="U41" s="100"/>
      <c r="V41" s="143"/>
      <c r="W41" s="102"/>
    </row>
    <row r="42" spans="1:25" x14ac:dyDescent="0.15">
      <c r="A42" s="101"/>
      <c r="B42" s="100" t="s">
        <v>30</v>
      </c>
      <c r="C42" s="100"/>
      <c r="D42" s="101"/>
      <c r="E42" s="100"/>
      <c r="F42" s="110">
        <f>IF(ROUND(0.8*(F49),2)&lt;E54,ROUND(0.8*(F49),2),E54)</f>
        <v>34499.4</v>
      </c>
      <c r="G42" s="112">
        <f>IF(ROUND(0.8*(G49),2)&lt;F54,ROUND(0.8*(G49),2),F54)</f>
        <v>34499.4</v>
      </c>
      <c r="H42" s="110">
        <f>IF(ROUND(0.8*(H49),2)&lt;G54,ROUND(0.8*(H49),2),G54)</f>
        <v>34499.4</v>
      </c>
      <c r="I42" s="110">
        <f t="shared" ref="I42:S42" si="19">IF(ROUND(0.8*(I49),2)&lt;H54,ROUND(0.8*(I49),2),H54)</f>
        <v>34499.4</v>
      </c>
      <c r="J42" s="110">
        <f t="shared" si="19"/>
        <v>34499.4</v>
      </c>
      <c r="K42" s="110">
        <f t="shared" si="19"/>
        <v>34499.4</v>
      </c>
      <c r="L42" s="111">
        <f t="shared" si="19"/>
        <v>34499.4</v>
      </c>
      <c r="M42" s="110">
        <f t="shared" si="19"/>
        <v>34499.4</v>
      </c>
      <c r="N42" s="110">
        <f t="shared" si="19"/>
        <v>34499.4</v>
      </c>
      <c r="O42" s="112">
        <f t="shared" si="19"/>
        <v>34499.4</v>
      </c>
      <c r="P42" s="110">
        <f t="shared" si="19"/>
        <v>34499.4</v>
      </c>
      <c r="Q42" s="110">
        <f t="shared" si="19"/>
        <v>34499.4</v>
      </c>
      <c r="R42" s="140">
        <f t="shared" si="19"/>
        <v>34499.4</v>
      </c>
      <c r="S42" s="110">
        <f t="shared" si="19"/>
        <v>34499.4</v>
      </c>
      <c r="T42" s="111">
        <f>IF(ROUND(0.8*(T49),2)&lt;S54,ROUND(0.8*(T49),2),S54)</f>
        <v>34499.4</v>
      </c>
      <c r="U42" s="110">
        <f>IF(ROUND(0.8*(U49),2)&lt;T54,ROUND(0.8*(U49),2),T54)</f>
        <v>34499.4</v>
      </c>
      <c r="V42" s="166">
        <f>IF(ROUND(0.8*(V49),2)&lt;U54,ROUND(0.8*(V49),2),U54)</f>
        <v>34499.4</v>
      </c>
      <c r="W42" s="168">
        <f>IF(ROUND(0.8*(W49),2)&lt;V54,ROUND(0.8*(W49),2),V54)</f>
        <v>34499.4</v>
      </c>
    </row>
    <row r="43" spans="1:25" x14ac:dyDescent="0.15">
      <c r="A43" s="101"/>
      <c r="B43" s="100" t="s">
        <v>120</v>
      </c>
      <c r="C43" s="100"/>
      <c r="D43" s="101"/>
      <c r="E43" s="100"/>
      <c r="F43" s="110">
        <f>IF(ROUND(0.2*(F49),2)&lt;E55,ROUND(0.2*(F49),2),E55)</f>
        <v>8624.85</v>
      </c>
      <c r="G43" s="112">
        <f>IF(ROUND(0.2*(G49),2)&lt;F55,ROUND(0.2*(G49),2),F55)</f>
        <v>8624.85</v>
      </c>
      <c r="H43" s="110">
        <f>IF(ROUND(0.2*(H49),2)&lt;G55,ROUND(0.2*(H49),2),G55)</f>
        <v>8624.85</v>
      </c>
      <c r="I43" s="110">
        <f t="shared" ref="I43:S43" si="20">IF(ROUND(0.2*(I49),2)&lt;H55,ROUND(0.2*(I49),2),H55)</f>
        <v>8624.85</v>
      </c>
      <c r="J43" s="110">
        <f t="shared" si="20"/>
        <v>8624.85</v>
      </c>
      <c r="K43" s="110">
        <f t="shared" si="20"/>
        <v>8624.85</v>
      </c>
      <c r="L43" s="111">
        <f t="shared" si="20"/>
        <v>8624.85</v>
      </c>
      <c r="M43" s="110">
        <f t="shared" si="20"/>
        <v>8624.85</v>
      </c>
      <c r="N43" s="110">
        <f t="shared" si="20"/>
        <v>8624.85</v>
      </c>
      <c r="O43" s="112">
        <f t="shared" si="20"/>
        <v>8624.85</v>
      </c>
      <c r="P43" s="110">
        <f t="shared" si="20"/>
        <v>8624.85</v>
      </c>
      <c r="Q43" s="110">
        <f t="shared" si="20"/>
        <v>8624.85</v>
      </c>
      <c r="R43" s="140">
        <f t="shared" si="20"/>
        <v>8624.85</v>
      </c>
      <c r="S43" s="110">
        <f t="shared" si="20"/>
        <v>8624.85</v>
      </c>
      <c r="T43" s="111">
        <f>IF(ROUND(0.2*(T49),2)&lt;S55,ROUND(0.2*(T49),2),S55)</f>
        <v>8624.85</v>
      </c>
      <c r="U43" s="110">
        <f>IF(ROUND(0.2*(U49),2)&lt;T55,ROUND(0.2*(U49),2),T55)</f>
        <v>8624.85</v>
      </c>
      <c r="V43" s="140">
        <f>IF(ROUND(0.2*(V49),2)&lt;U55,ROUND(0.2*(V49),2),U55)</f>
        <v>8624.85</v>
      </c>
      <c r="W43" s="112">
        <f>IF(ROUND(0.2*(W49),2)&lt;V55,ROUND(0.2*(W49),2),V55)</f>
        <v>8624.85</v>
      </c>
    </row>
    <row r="44" spans="1:25" x14ac:dyDescent="0.15">
      <c r="A44" s="101"/>
      <c r="B44" s="100" t="s">
        <v>80</v>
      </c>
      <c r="C44" s="100"/>
      <c r="D44" s="101"/>
      <c r="E44" s="100"/>
      <c r="F44" s="110"/>
      <c r="G44" s="112"/>
      <c r="H44" s="110"/>
      <c r="I44" s="110"/>
      <c r="J44" s="110"/>
      <c r="K44" s="110"/>
      <c r="L44" s="111"/>
      <c r="M44" s="110"/>
      <c r="N44" s="110"/>
      <c r="O44" s="112"/>
      <c r="P44" s="110"/>
      <c r="Q44" s="110"/>
      <c r="R44" s="140"/>
      <c r="S44" s="110"/>
      <c r="T44" s="111"/>
      <c r="U44" s="110"/>
      <c r="V44" s="140"/>
      <c r="W44" s="112"/>
    </row>
    <row r="45" spans="1:25" x14ac:dyDescent="0.15">
      <c r="A45" s="101"/>
      <c r="B45" s="100" t="s">
        <v>38</v>
      </c>
      <c r="C45" s="100"/>
      <c r="D45" s="101"/>
      <c r="E45" s="100"/>
      <c r="F45" s="110">
        <f t="shared" ref="F45:W45" si="21">F46*F49</f>
        <v>0</v>
      </c>
      <c r="G45" s="112">
        <f t="shared" si="21"/>
        <v>431.24250000000001</v>
      </c>
      <c r="H45" s="110">
        <f t="shared" si="21"/>
        <v>1509.3487500000001</v>
      </c>
      <c r="I45" s="110">
        <f t="shared" si="21"/>
        <v>5174.91</v>
      </c>
      <c r="J45" s="110">
        <f t="shared" si="21"/>
        <v>6037.3950000000004</v>
      </c>
      <c r="K45" s="110">
        <f t="shared" si="21"/>
        <v>7331.1225000000004</v>
      </c>
      <c r="L45" s="111">
        <f t="shared" si="21"/>
        <v>1509.3487500000001</v>
      </c>
      <c r="M45" s="110">
        <f t="shared" si="21"/>
        <v>5174.91</v>
      </c>
      <c r="N45" s="110">
        <f t="shared" si="21"/>
        <v>6037.3950000000004</v>
      </c>
      <c r="O45" s="112">
        <f t="shared" si="21"/>
        <v>7331.1225000000004</v>
      </c>
      <c r="P45" s="110">
        <f t="shared" si="21"/>
        <v>1509.3487500000001</v>
      </c>
      <c r="Q45" s="110">
        <f t="shared" si="21"/>
        <v>5174.91</v>
      </c>
      <c r="R45" s="140">
        <f t="shared" si="21"/>
        <v>6037.3950000000004</v>
      </c>
      <c r="S45" s="110">
        <f t="shared" si="21"/>
        <v>7331.1225000000004</v>
      </c>
      <c r="T45" s="111">
        <f t="shared" si="21"/>
        <v>1509.3487500000001</v>
      </c>
      <c r="U45" s="110">
        <f t="shared" si="21"/>
        <v>5174.91</v>
      </c>
      <c r="V45" s="140">
        <f t="shared" si="21"/>
        <v>6037.3950000000004</v>
      </c>
      <c r="W45" s="112">
        <f t="shared" si="21"/>
        <v>7331.1225000000004</v>
      </c>
    </row>
    <row r="46" spans="1:25" x14ac:dyDescent="0.15">
      <c r="A46" s="101"/>
      <c r="B46" s="100"/>
      <c r="C46" s="100" t="s">
        <v>51</v>
      </c>
      <c r="D46" s="101"/>
      <c r="E46" s="100"/>
      <c r="F46" s="108">
        <v>0</v>
      </c>
      <c r="G46" s="109">
        <v>0.01</v>
      </c>
      <c r="H46" s="108">
        <v>3.5000000000000003E-2</v>
      </c>
      <c r="I46" s="108">
        <v>0.12</v>
      </c>
      <c r="J46" s="108">
        <v>0.14000000000000001</v>
      </c>
      <c r="K46" s="108">
        <v>0.17</v>
      </c>
      <c r="L46" s="107">
        <v>3.5000000000000003E-2</v>
      </c>
      <c r="M46" s="108">
        <v>0.12</v>
      </c>
      <c r="N46" s="108">
        <v>0.14000000000000001</v>
      </c>
      <c r="O46" s="109">
        <v>0.17</v>
      </c>
      <c r="P46" s="108">
        <v>3.5000000000000003E-2</v>
      </c>
      <c r="Q46" s="108">
        <v>0.12</v>
      </c>
      <c r="R46" s="141">
        <v>0.14000000000000001</v>
      </c>
      <c r="S46" s="108">
        <v>0.17</v>
      </c>
      <c r="T46" s="107">
        <v>3.5000000000000003E-2</v>
      </c>
      <c r="U46" s="108">
        <v>0.12</v>
      </c>
      <c r="V46" s="141">
        <v>0.14000000000000001</v>
      </c>
      <c r="W46" s="109">
        <v>0.17</v>
      </c>
    </row>
    <row r="47" spans="1:25" x14ac:dyDescent="0.15">
      <c r="A47" s="101"/>
      <c r="B47" s="100" t="s">
        <v>109</v>
      </c>
      <c r="C47" s="100"/>
      <c r="D47" s="101"/>
      <c r="E47" s="100"/>
      <c r="F47" s="105">
        <f>SUM(F42:F45)</f>
        <v>43124.25</v>
      </c>
      <c r="G47" s="106">
        <f t="shared" ref="G47:S47" si="22">SUM(G42:G45)</f>
        <v>43555.4925</v>
      </c>
      <c r="H47" s="105">
        <f t="shared" si="22"/>
        <v>44633.598749999997</v>
      </c>
      <c r="I47" s="105">
        <f t="shared" si="22"/>
        <v>48299.16</v>
      </c>
      <c r="J47" s="105">
        <f t="shared" si="22"/>
        <v>49161.645000000004</v>
      </c>
      <c r="K47" s="105">
        <f t="shared" si="22"/>
        <v>50455.372499999998</v>
      </c>
      <c r="L47" s="104">
        <f t="shared" si="22"/>
        <v>44633.598749999997</v>
      </c>
      <c r="M47" s="105">
        <f t="shared" si="22"/>
        <v>48299.16</v>
      </c>
      <c r="N47" s="105">
        <f t="shared" si="22"/>
        <v>49161.645000000004</v>
      </c>
      <c r="O47" s="106">
        <f t="shared" si="22"/>
        <v>50455.372499999998</v>
      </c>
      <c r="P47" s="105">
        <f t="shared" si="22"/>
        <v>44633.598749999997</v>
      </c>
      <c r="Q47" s="105">
        <f t="shared" si="22"/>
        <v>48299.16</v>
      </c>
      <c r="R47" s="142">
        <f t="shared" si="22"/>
        <v>49161.645000000004</v>
      </c>
      <c r="S47" s="105">
        <f t="shared" si="22"/>
        <v>50455.372499999998</v>
      </c>
      <c r="T47" s="104">
        <f>SUM(T42:T45)</f>
        <v>44633.598749999997</v>
      </c>
      <c r="U47" s="105">
        <f>SUM(U42:U45)</f>
        <v>48299.16</v>
      </c>
      <c r="V47" s="142">
        <f>SUM(V42:V45)</f>
        <v>49161.645000000004</v>
      </c>
      <c r="W47" s="106">
        <f>SUM(W42:W45)</f>
        <v>50455.372499999998</v>
      </c>
    </row>
    <row r="48" spans="1:25" x14ac:dyDescent="0.15">
      <c r="A48" s="101"/>
      <c r="B48" s="100"/>
      <c r="C48" s="100"/>
      <c r="D48" s="101"/>
      <c r="E48" s="100"/>
      <c r="F48" s="105"/>
      <c r="G48" s="106"/>
      <c r="H48" s="105"/>
      <c r="I48" s="105"/>
      <c r="J48" s="100"/>
      <c r="K48" s="100"/>
      <c r="L48" s="101"/>
      <c r="M48" s="100"/>
      <c r="N48" s="100"/>
      <c r="O48" s="102"/>
      <c r="P48" s="100"/>
      <c r="Q48" s="100"/>
      <c r="R48" s="143"/>
      <c r="S48" s="100"/>
      <c r="T48" s="101"/>
      <c r="U48" s="100"/>
      <c r="V48" s="143"/>
      <c r="W48" s="102"/>
    </row>
    <row r="49" spans="1:25" x14ac:dyDescent="0.15">
      <c r="A49" s="101"/>
      <c r="B49" s="100" t="s">
        <v>33</v>
      </c>
      <c r="C49" s="100"/>
      <c r="D49" s="101"/>
      <c r="E49" s="100"/>
      <c r="F49" s="110">
        <f t="shared" ref="F49:W49" si="23">(13269/4)*52/4</f>
        <v>43124.25</v>
      </c>
      <c r="G49" s="112">
        <f t="shared" si="23"/>
        <v>43124.25</v>
      </c>
      <c r="H49" s="110">
        <f t="shared" si="23"/>
        <v>43124.25</v>
      </c>
      <c r="I49" s="110">
        <f t="shared" si="23"/>
        <v>43124.25</v>
      </c>
      <c r="J49" s="110">
        <f t="shared" si="23"/>
        <v>43124.25</v>
      </c>
      <c r="K49" s="110">
        <f t="shared" si="23"/>
        <v>43124.25</v>
      </c>
      <c r="L49" s="111">
        <f t="shared" si="23"/>
        <v>43124.25</v>
      </c>
      <c r="M49" s="110">
        <f t="shared" si="23"/>
        <v>43124.25</v>
      </c>
      <c r="N49" s="110">
        <f t="shared" si="23"/>
        <v>43124.25</v>
      </c>
      <c r="O49" s="112">
        <f t="shared" si="23"/>
        <v>43124.25</v>
      </c>
      <c r="P49" s="110">
        <f t="shared" si="23"/>
        <v>43124.25</v>
      </c>
      <c r="Q49" s="110">
        <f t="shared" si="23"/>
        <v>43124.25</v>
      </c>
      <c r="R49" s="110">
        <f t="shared" si="23"/>
        <v>43124.25</v>
      </c>
      <c r="S49" s="110">
        <f t="shared" si="23"/>
        <v>43124.25</v>
      </c>
      <c r="T49" s="111">
        <f t="shared" si="23"/>
        <v>43124.25</v>
      </c>
      <c r="U49" s="110">
        <f t="shared" si="23"/>
        <v>43124.25</v>
      </c>
      <c r="V49" s="110">
        <f t="shared" si="23"/>
        <v>43124.25</v>
      </c>
      <c r="W49" s="112">
        <f t="shared" si="23"/>
        <v>43124.25</v>
      </c>
      <c r="X49" s="162">
        <v>54.9</v>
      </c>
      <c r="Y49" s="103" t="s">
        <v>119</v>
      </c>
    </row>
    <row r="50" spans="1:25" x14ac:dyDescent="0.15">
      <c r="A50" s="101"/>
      <c r="B50" s="100" t="s">
        <v>128</v>
      </c>
      <c r="C50" s="100"/>
      <c r="D50" s="104"/>
      <c r="E50" s="105"/>
      <c r="F50" s="105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4">
        <v>0</v>
      </c>
      <c r="M50" s="105">
        <v>0</v>
      </c>
      <c r="N50" s="105">
        <v>0</v>
      </c>
      <c r="O50" s="106">
        <v>0</v>
      </c>
      <c r="P50" s="105">
        <v>0</v>
      </c>
      <c r="Q50" s="105">
        <v>0</v>
      </c>
      <c r="R50" s="142">
        <v>0</v>
      </c>
      <c r="S50" s="105">
        <v>0</v>
      </c>
      <c r="T50" s="104">
        <v>0</v>
      </c>
      <c r="U50" s="105">
        <v>0</v>
      </c>
      <c r="V50" s="142">
        <v>0</v>
      </c>
      <c r="W50" s="106">
        <v>0</v>
      </c>
    </row>
    <row r="51" spans="1:25" x14ac:dyDescent="0.15">
      <c r="A51" s="101"/>
      <c r="B51" s="100" t="s">
        <v>109</v>
      </c>
      <c r="C51" s="100"/>
      <c r="D51" s="104"/>
      <c r="E51" s="105"/>
      <c r="F51" s="105">
        <f t="shared" ref="F51:W51" si="24">SUM(F49:F50)</f>
        <v>43124.25</v>
      </c>
      <c r="G51" s="106">
        <f t="shared" si="24"/>
        <v>43124.25</v>
      </c>
      <c r="H51" s="105">
        <f t="shared" si="24"/>
        <v>43124.25</v>
      </c>
      <c r="I51" s="105">
        <f t="shared" si="24"/>
        <v>43124.25</v>
      </c>
      <c r="J51" s="105">
        <f t="shared" si="24"/>
        <v>43124.25</v>
      </c>
      <c r="K51" s="105">
        <f t="shared" si="24"/>
        <v>43124.25</v>
      </c>
      <c r="L51" s="104">
        <f t="shared" si="24"/>
        <v>43124.25</v>
      </c>
      <c r="M51" s="105">
        <f t="shared" si="24"/>
        <v>43124.25</v>
      </c>
      <c r="N51" s="105">
        <f t="shared" si="24"/>
        <v>43124.25</v>
      </c>
      <c r="O51" s="106">
        <f t="shared" si="24"/>
        <v>43124.25</v>
      </c>
      <c r="P51" s="105">
        <f t="shared" si="24"/>
        <v>43124.25</v>
      </c>
      <c r="Q51" s="105">
        <f t="shared" si="24"/>
        <v>43124.25</v>
      </c>
      <c r="R51" s="142">
        <f t="shared" si="24"/>
        <v>43124.25</v>
      </c>
      <c r="S51" s="105">
        <f t="shared" si="24"/>
        <v>43124.25</v>
      </c>
      <c r="T51" s="104">
        <f t="shared" si="24"/>
        <v>43124.25</v>
      </c>
      <c r="U51" s="105">
        <f t="shared" si="24"/>
        <v>43124.25</v>
      </c>
      <c r="V51" s="142">
        <f t="shared" si="24"/>
        <v>43124.25</v>
      </c>
      <c r="W51" s="106">
        <f t="shared" si="24"/>
        <v>43124.25</v>
      </c>
    </row>
    <row r="52" spans="1:25" x14ac:dyDescent="0.15">
      <c r="A52" s="101"/>
      <c r="B52" s="100"/>
      <c r="C52" s="100"/>
      <c r="D52" s="104"/>
      <c r="E52" s="105"/>
      <c r="F52" s="105"/>
      <c r="G52" s="106"/>
      <c r="H52" s="100"/>
      <c r="I52" s="100"/>
      <c r="J52" s="100"/>
      <c r="K52" s="100"/>
      <c r="L52" s="101"/>
      <c r="M52" s="100"/>
      <c r="N52" s="100"/>
      <c r="O52" s="102"/>
      <c r="P52" s="100"/>
      <c r="Q52" s="100"/>
      <c r="R52" s="143"/>
      <c r="S52" s="100"/>
      <c r="T52" s="101"/>
      <c r="U52" s="100"/>
      <c r="V52" s="143"/>
      <c r="W52" s="102"/>
    </row>
    <row r="53" spans="1:25" x14ac:dyDescent="0.15">
      <c r="A53" s="101"/>
      <c r="B53" s="100"/>
      <c r="C53" s="100"/>
      <c r="D53" s="104"/>
      <c r="E53" s="105"/>
      <c r="F53" s="105"/>
      <c r="G53" s="106"/>
      <c r="H53" s="100"/>
      <c r="I53" s="100"/>
      <c r="J53" s="100"/>
      <c r="K53" s="100"/>
      <c r="L53" s="101"/>
      <c r="M53" s="100"/>
      <c r="N53" s="100"/>
      <c r="O53" s="102"/>
      <c r="P53" s="100"/>
      <c r="Q53" s="100"/>
      <c r="R53" s="143"/>
      <c r="S53" s="100"/>
      <c r="T53" s="101"/>
      <c r="U53" s="100"/>
      <c r="V53" s="143"/>
      <c r="W53" s="102"/>
    </row>
    <row r="54" spans="1:25" x14ac:dyDescent="0.15">
      <c r="A54" s="101" t="s">
        <v>52</v>
      </c>
      <c r="B54" s="100"/>
      <c r="C54" s="100"/>
      <c r="D54" s="104"/>
      <c r="E54" s="105">
        <v>720000</v>
      </c>
      <c r="F54" s="105">
        <f>E54-F42</f>
        <v>685500.6</v>
      </c>
      <c r="G54" s="106">
        <f t="shared" ref="G54:S54" si="25">F54-G42</f>
        <v>651001.19999999995</v>
      </c>
      <c r="H54" s="105">
        <f t="shared" si="25"/>
        <v>616501.79999999993</v>
      </c>
      <c r="I54" s="105">
        <f t="shared" si="25"/>
        <v>582002.39999999991</v>
      </c>
      <c r="J54" s="105">
        <f t="shared" si="25"/>
        <v>547502.99999999988</v>
      </c>
      <c r="K54" s="105">
        <f t="shared" si="25"/>
        <v>513003.59999999986</v>
      </c>
      <c r="L54" s="104">
        <f t="shared" si="25"/>
        <v>478504.19999999984</v>
      </c>
      <c r="M54" s="105">
        <f t="shared" si="25"/>
        <v>444004.79999999981</v>
      </c>
      <c r="N54" s="105">
        <f t="shared" si="25"/>
        <v>409505.39999999979</v>
      </c>
      <c r="O54" s="106">
        <f t="shared" si="25"/>
        <v>375005.99999999977</v>
      </c>
      <c r="P54" s="105">
        <f t="shared" si="25"/>
        <v>340506.59999999974</v>
      </c>
      <c r="Q54" s="105">
        <f t="shared" si="25"/>
        <v>306007.19999999972</v>
      </c>
      <c r="R54" s="142">
        <f t="shared" si="25"/>
        <v>271507.7999999997</v>
      </c>
      <c r="S54" s="105">
        <f t="shared" si="25"/>
        <v>237008.3999999997</v>
      </c>
      <c r="T54" s="104">
        <f t="shared" ref="T54:W55" si="26">S54-T42</f>
        <v>202508.99999999971</v>
      </c>
      <c r="U54" s="105">
        <f t="shared" si="26"/>
        <v>168009.59999999971</v>
      </c>
      <c r="V54" s="142">
        <f t="shared" si="26"/>
        <v>133510.19999999972</v>
      </c>
      <c r="W54" s="106">
        <f t="shared" si="26"/>
        <v>99010.799999999726</v>
      </c>
    </row>
    <row r="55" spans="1:25" x14ac:dyDescent="0.15">
      <c r="A55" s="101" t="s">
        <v>118</v>
      </c>
      <c r="B55" s="100"/>
      <c r="C55" s="100"/>
      <c r="D55" s="101"/>
      <c r="E55" s="110">
        <v>180000</v>
      </c>
      <c r="F55" s="105">
        <f>E55-F43</f>
        <v>171375.15</v>
      </c>
      <c r="G55" s="106">
        <f t="shared" ref="G55:S55" si="27">F55-G43</f>
        <v>162750.29999999999</v>
      </c>
      <c r="H55" s="105">
        <f t="shared" si="27"/>
        <v>154125.44999999998</v>
      </c>
      <c r="I55" s="105">
        <f t="shared" si="27"/>
        <v>145500.59999999998</v>
      </c>
      <c r="J55" s="105">
        <f t="shared" si="27"/>
        <v>136875.74999999997</v>
      </c>
      <c r="K55" s="105">
        <f t="shared" si="27"/>
        <v>128250.89999999997</v>
      </c>
      <c r="L55" s="104">
        <f t="shared" si="27"/>
        <v>119626.04999999996</v>
      </c>
      <c r="M55" s="105">
        <f t="shared" si="27"/>
        <v>111001.19999999995</v>
      </c>
      <c r="N55" s="105">
        <f t="shared" si="27"/>
        <v>102376.34999999995</v>
      </c>
      <c r="O55" s="106">
        <f t="shared" si="27"/>
        <v>93751.499999999942</v>
      </c>
      <c r="P55" s="105">
        <f t="shared" si="27"/>
        <v>85126.649999999936</v>
      </c>
      <c r="Q55" s="105">
        <f t="shared" si="27"/>
        <v>76501.79999999993</v>
      </c>
      <c r="R55" s="142">
        <f t="shared" si="27"/>
        <v>67876.949999999924</v>
      </c>
      <c r="S55" s="105">
        <f t="shared" si="27"/>
        <v>59252.099999999926</v>
      </c>
      <c r="T55" s="104">
        <f t="shared" si="26"/>
        <v>50627.249999999927</v>
      </c>
      <c r="U55" s="105">
        <f t="shared" si="26"/>
        <v>42002.399999999929</v>
      </c>
      <c r="V55" s="142">
        <f t="shared" si="26"/>
        <v>33377.54999999993</v>
      </c>
      <c r="W55" s="106">
        <f t="shared" si="26"/>
        <v>24752.699999999932</v>
      </c>
    </row>
    <row r="56" spans="1:25" x14ac:dyDescent="0.15">
      <c r="A56" s="113" t="s">
        <v>121</v>
      </c>
      <c r="B56" s="114"/>
      <c r="C56" s="114"/>
      <c r="D56" s="113"/>
      <c r="E56" s="115"/>
      <c r="F56" s="115">
        <f t="shared" ref="F56:S56" si="28">E56+F47-F51</f>
        <v>0</v>
      </c>
      <c r="G56" s="116">
        <f t="shared" si="28"/>
        <v>431.24250000000029</v>
      </c>
      <c r="H56" s="115">
        <f t="shared" si="28"/>
        <v>1940.5912499999977</v>
      </c>
      <c r="I56" s="115">
        <f t="shared" si="28"/>
        <v>7115.5012500000012</v>
      </c>
      <c r="J56" s="115">
        <f t="shared" si="28"/>
        <v>13152.896250000005</v>
      </c>
      <c r="K56" s="115">
        <f t="shared" si="28"/>
        <v>20484.018750000003</v>
      </c>
      <c r="L56" s="117">
        <f t="shared" si="28"/>
        <v>21993.3675</v>
      </c>
      <c r="M56" s="115">
        <f t="shared" si="28"/>
        <v>27168.277499999997</v>
      </c>
      <c r="N56" s="115">
        <f t="shared" si="28"/>
        <v>33205.672500000001</v>
      </c>
      <c r="O56" s="116">
        <f t="shared" si="28"/>
        <v>40536.794999999998</v>
      </c>
      <c r="P56" s="115">
        <f t="shared" si="28"/>
        <v>42046.143749999988</v>
      </c>
      <c r="Q56" s="115">
        <f t="shared" si="28"/>
        <v>47221.053749999992</v>
      </c>
      <c r="R56" s="144">
        <f t="shared" si="28"/>
        <v>53258.448749999996</v>
      </c>
      <c r="S56" s="115">
        <f t="shared" si="28"/>
        <v>60589.571249999994</v>
      </c>
      <c r="T56" s="117">
        <f>S56+T47-T51</f>
        <v>62098.919999999984</v>
      </c>
      <c r="U56" s="115">
        <f>T56+U47-U51</f>
        <v>67273.829999999987</v>
      </c>
      <c r="V56" s="144">
        <f>U56+V47-V51</f>
        <v>73311.224999999991</v>
      </c>
      <c r="W56" s="116">
        <f>V56+W47-W51</f>
        <v>80642.347499999989</v>
      </c>
    </row>
    <row r="57" spans="1:25" ht="15" thickBot="1" x14ac:dyDescent="0.2">
      <c r="A57" s="101"/>
      <c r="B57" s="100"/>
      <c r="C57" s="100"/>
      <c r="D57" s="101"/>
      <c r="E57" s="100"/>
      <c r="F57" s="100"/>
      <c r="G57" s="102"/>
      <c r="H57" s="100"/>
      <c r="I57" s="100"/>
      <c r="J57" s="100"/>
      <c r="K57" s="100"/>
      <c r="L57" s="101"/>
      <c r="M57" s="100"/>
      <c r="N57" s="100"/>
      <c r="O57" s="102"/>
      <c r="P57" s="100"/>
      <c r="Q57" s="100"/>
      <c r="R57" s="146"/>
      <c r="S57" s="100"/>
      <c r="T57" s="101"/>
      <c r="U57" s="100"/>
      <c r="V57" s="146"/>
      <c r="W57" s="102"/>
    </row>
    <row r="58" spans="1:25" ht="15" thickBot="1" x14ac:dyDescent="0.2">
      <c r="A58" s="134" t="s">
        <v>122</v>
      </c>
      <c r="B58" s="135"/>
      <c r="C58" s="135"/>
      <c r="D58" s="136">
        <f>D56+D39+D23</f>
        <v>0</v>
      </c>
      <c r="E58" s="137">
        <f t="shared" ref="E58:W58" si="29">E56+E39+E23</f>
        <v>0</v>
      </c>
      <c r="F58" s="137">
        <f t="shared" si="29"/>
        <v>4947</v>
      </c>
      <c r="G58" s="138">
        <f t="shared" si="29"/>
        <v>13110.2425</v>
      </c>
      <c r="H58" s="137">
        <f t="shared" si="29"/>
        <v>39251.518665584401</v>
      </c>
      <c r="I58" s="137">
        <f t="shared" si="29"/>
        <v>28783.068711038948</v>
      </c>
      <c r="J58" s="137">
        <f t="shared" si="29"/>
        <v>19897.863711038946</v>
      </c>
      <c r="K58" s="137">
        <f t="shared" si="29"/>
        <v>15536.196192857122</v>
      </c>
      <c r="L58" s="136">
        <f t="shared" si="29"/>
        <v>-15628.648684760999</v>
      </c>
      <c r="M58" s="137">
        <f t="shared" si="29"/>
        <v>-41706.818572503435</v>
      </c>
      <c r="N58" s="137">
        <f t="shared" si="29"/>
        <v>-64982.027537723821</v>
      </c>
      <c r="O58" s="138">
        <f t="shared" si="29"/>
        <v>-84343.503105220108</v>
      </c>
      <c r="P58" s="137">
        <f t="shared" si="29"/>
        <v>-115508.34798283823</v>
      </c>
      <c r="Q58" s="137">
        <f t="shared" si="29"/>
        <v>-140976.67599453687</v>
      </c>
      <c r="R58" s="137">
        <f t="shared" si="29"/>
        <v>-185761.88495975727</v>
      </c>
      <c r="S58" s="137">
        <f t="shared" si="29"/>
        <v>-241393.36052725359</v>
      </c>
      <c r="T58" s="136">
        <f t="shared" si="29"/>
        <v>-308218.36326270032</v>
      </c>
      <c r="U58" s="137">
        <f t="shared" si="29"/>
        <v>-370566.5331504427</v>
      </c>
      <c r="V58" s="137">
        <f t="shared" si="29"/>
        <v>-430111.74211566307</v>
      </c>
      <c r="W58" s="138">
        <f t="shared" si="29"/>
        <v>-486353.0606823889</v>
      </c>
    </row>
  </sheetData>
  <mergeCells count="5">
    <mergeCell ref="D1:G1"/>
    <mergeCell ref="H1:K1"/>
    <mergeCell ref="L1:O1"/>
    <mergeCell ref="P1:S1"/>
    <mergeCell ref="T1:W1"/>
  </mergeCells>
  <pageMargins left="0.2" right="0.2" top="0.25" bottom="0.25" header="0.3" footer="0.3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AB24"/>
  <sheetViews>
    <sheetView workbookViewId="0">
      <selection activeCell="A19" sqref="A19"/>
    </sheetView>
  </sheetViews>
  <sheetFormatPr baseColWidth="10" defaultColWidth="8.83203125" defaultRowHeight="15" x14ac:dyDescent="0.2"/>
  <cols>
    <col min="1" max="1" width="8" customWidth="1"/>
    <col min="3" max="3" width="12.5" bestFit="1" customWidth="1"/>
    <col min="4" max="28" width="11.5" bestFit="1" customWidth="1"/>
  </cols>
  <sheetData>
    <row r="1" spans="1:28" x14ac:dyDescent="0.2">
      <c r="A1" s="10"/>
      <c r="B1" s="10"/>
      <c r="C1" s="11"/>
      <c r="D1" s="21">
        <v>2014</v>
      </c>
      <c r="E1" s="182">
        <v>2015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>
        <v>2016</v>
      </c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4"/>
    </row>
    <row r="2" spans="1:28" x14ac:dyDescent="0.2">
      <c r="A2" s="12"/>
      <c r="B2" s="12"/>
      <c r="C2" s="9"/>
      <c r="D2" s="22" t="s">
        <v>49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20</v>
      </c>
      <c r="J2" s="13" t="s">
        <v>43</v>
      </c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25" t="s">
        <v>39</v>
      </c>
      <c r="R2" s="13" t="s">
        <v>40</v>
      </c>
      <c r="S2" s="13" t="s">
        <v>41</v>
      </c>
      <c r="T2" s="13" t="s">
        <v>42</v>
      </c>
      <c r="U2" s="13" t="s">
        <v>20</v>
      </c>
      <c r="V2" s="13" t="s">
        <v>43</v>
      </c>
      <c r="W2" s="13" t="s">
        <v>44</v>
      </c>
      <c r="X2" s="13" t="s">
        <v>45</v>
      </c>
      <c r="Y2" s="13" t="s">
        <v>46</v>
      </c>
      <c r="Z2" s="13" t="s">
        <v>47</v>
      </c>
      <c r="AA2" s="13" t="s">
        <v>48</v>
      </c>
      <c r="AB2" s="14" t="s">
        <v>49</v>
      </c>
    </row>
    <row r="3" spans="1:28" x14ac:dyDescent="0.2">
      <c r="A3" s="12" t="s">
        <v>29</v>
      </c>
      <c r="B3" s="12"/>
      <c r="C3" s="9" t="s">
        <v>50</v>
      </c>
      <c r="D3" s="60">
        <v>22</v>
      </c>
      <c r="E3" s="40">
        <v>21</v>
      </c>
      <c r="F3" s="40">
        <v>20</v>
      </c>
      <c r="G3" s="40">
        <v>22</v>
      </c>
      <c r="H3" s="40">
        <v>22</v>
      </c>
      <c r="I3" s="40">
        <v>20</v>
      </c>
      <c r="J3" s="40">
        <v>22</v>
      </c>
      <c r="K3" s="40">
        <v>22</v>
      </c>
      <c r="L3" s="40">
        <v>21</v>
      </c>
      <c r="M3" s="40">
        <v>21</v>
      </c>
      <c r="N3" s="40">
        <v>22</v>
      </c>
      <c r="O3" s="40">
        <v>20</v>
      </c>
      <c r="P3" s="40">
        <v>21</v>
      </c>
      <c r="Q3" s="56">
        <v>20</v>
      </c>
      <c r="R3" s="40">
        <v>21</v>
      </c>
      <c r="S3" s="40">
        <v>23</v>
      </c>
      <c r="T3" s="40">
        <v>21</v>
      </c>
      <c r="U3" s="40">
        <v>21</v>
      </c>
      <c r="V3" s="40">
        <v>22</v>
      </c>
      <c r="W3" s="40">
        <v>21</v>
      </c>
      <c r="X3" s="40">
        <v>23</v>
      </c>
      <c r="Y3" s="40">
        <v>21</v>
      </c>
      <c r="Z3" s="40">
        <v>21</v>
      </c>
      <c r="AA3" s="40">
        <v>21</v>
      </c>
      <c r="AB3" s="41">
        <v>21</v>
      </c>
    </row>
    <row r="4" spans="1:28" x14ac:dyDescent="0.2">
      <c r="A4" s="12"/>
      <c r="B4" s="12" t="s">
        <v>30</v>
      </c>
      <c r="C4" s="9"/>
      <c r="D4" s="45">
        <v>8523.74</v>
      </c>
      <c r="E4" s="46">
        <v>8556.86</v>
      </c>
      <c r="F4" s="46">
        <f t="shared" ref="F4:K4" si="0">ROUND(0.8*(F10-F6),2)</f>
        <v>8538.69</v>
      </c>
      <c r="G4" s="46">
        <f t="shared" si="0"/>
        <v>9464.7099999999991</v>
      </c>
      <c r="H4" s="46">
        <f t="shared" si="0"/>
        <v>9570.9599999999991</v>
      </c>
      <c r="I4" s="46">
        <f t="shared" si="0"/>
        <v>8642.31</v>
      </c>
      <c r="J4" s="46">
        <f t="shared" si="0"/>
        <v>9205.94</v>
      </c>
      <c r="K4" s="39">
        <f t="shared" si="0"/>
        <v>9230.5400000000009</v>
      </c>
      <c r="L4" s="39">
        <f t="shared" ref="L4:Q4" si="1">ROUND(0.8*(L10-L6),2)</f>
        <v>8810.9699999999993</v>
      </c>
      <c r="M4" s="39">
        <f t="shared" si="1"/>
        <v>8606.06</v>
      </c>
      <c r="N4" s="39">
        <f t="shared" si="1"/>
        <v>8801.2099999999991</v>
      </c>
      <c r="O4" s="39">
        <f t="shared" si="1"/>
        <v>7903.53</v>
      </c>
      <c r="P4" s="39">
        <f t="shared" si="1"/>
        <v>8136.29</v>
      </c>
      <c r="Q4" s="47">
        <f t="shared" si="1"/>
        <v>8149.39</v>
      </c>
      <c r="R4" s="39">
        <v>7128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48">
        <v>0</v>
      </c>
    </row>
    <row r="5" spans="1:28" x14ac:dyDescent="0.2">
      <c r="A5" s="12"/>
      <c r="B5" s="12" t="s">
        <v>31</v>
      </c>
      <c r="C5" s="9"/>
      <c r="D5" s="45">
        <v>2130.9299999999998</v>
      </c>
      <c r="E5" s="46">
        <v>2139.2199999999998</v>
      </c>
      <c r="F5" s="46">
        <f t="shared" ref="F5:K5" si="2">ROUND(0.2*(F10-F6),2)</f>
        <v>2134.67</v>
      </c>
      <c r="G5" s="46">
        <f t="shared" si="2"/>
        <v>2366.1799999999998</v>
      </c>
      <c r="H5" s="46">
        <f t="shared" si="2"/>
        <v>2392.7399999999998</v>
      </c>
      <c r="I5" s="46">
        <f t="shared" si="2"/>
        <v>2160.58</v>
      </c>
      <c r="J5" s="46">
        <f t="shared" si="2"/>
        <v>2301.4899999999998</v>
      </c>
      <c r="K5" s="39">
        <f t="shared" si="2"/>
        <v>2307.63</v>
      </c>
      <c r="L5" s="39">
        <f t="shared" ref="L5:Q5" si="3">ROUND(0.2*(L10-L6),2)</f>
        <v>2202.7399999999998</v>
      </c>
      <c r="M5" s="39">
        <f t="shared" si="3"/>
        <v>2151.52</v>
      </c>
      <c r="N5" s="39">
        <f t="shared" si="3"/>
        <v>2200.3000000000002</v>
      </c>
      <c r="O5" s="39">
        <f t="shared" si="3"/>
        <v>1975.88</v>
      </c>
      <c r="P5" s="39">
        <f t="shared" si="3"/>
        <v>2034.07</v>
      </c>
      <c r="Q5" s="47">
        <f t="shared" si="3"/>
        <v>2037.35</v>
      </c>
      <c r="R5" s="39">
        <v>1783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48">
        <v>0</v>
      </c>
    </row>
    <row r="6" spans="1:28" x14ac:dyDescent="0.2">
      <c r="A6" s="12"/>
      <c r="B6" s="12" t="s">
        <v>38</v>
      </c>
      <c r="C6" s="9"/>
      <c r="D6" s="45">
        <v>2761.81</v>
      </c>
      <c r="E6" s="46">
        <v>2110.56</v>
      </c>
      <c r="F6" s="46">
        <v>1523.44</v>
      </c>
      <c r="G6" s="46">
        <v>1585.59</v>
      </c>
      <c r="H6" s="46">
        <v>1452.78</v>
      </c>
      <c r="I6" s="46">
        <v>1393.91</v>
      </c>
      <c r="J6" s="46">
        <v>1909.05</v>
      </c>
      <c r="K6" s="39">
        <f>K7*K10</f>
        <v>1878.3072000000004</v>
      </c>
      <c r="L6" s="39">
        <f t="shared" ref="L6:Y6" si="4">L7*L10</f>
        <v>1792.9296000000004</v>
      </c>
      <c r="M6" s="39">
        <f t="shared" si="4"/>
        <v>2049.0624000000003</v>
      </c>
      <c r="N6" s="39">
        <f t="shared" si="4"/>
        <v>2414.9664000000002</v>
      </c>
      <c r="O6" s="39">
        <f t="shared" si="4"/>
        <v>2317.3920000000003</v>
      </c>
      <c r="P6" s="39">
        <f t="shared" si="4"/>
        <v>2636.2731818181819</v>
      </c>
      <c r="Q6" s="47">
        <f t="shared" si="4"/>
        <v>2010.0571428571432</v>
      </c>
      <c r="R6" s="39">
        <f t="shared" si="4"/>
        <v>1599.6120000000003</v>
      </c>
      <c r="S6" s="39">
        <f t="shared" si="4"/>
        <v>1657.6622727272729</v>
      </c>
      <c r="T6" s="39">
        <f t="shared" si="4"/>
        <v>1386.7445454545457</v>
      </c>
      <c r="U6" s="39">
        <f t="shared" si="4"/>
        <v>1463.6055000000003</v>
      </c>
      <c r="V6" s="39">
        <f t="shared" si="4"/>
        <v>1909.0500000000004</v>
      </c>
      <c r="W6" s="39">
        <f t="shared" si="4"/>
        <v>1792.9296000000004</v>
      </c>
      <c r="X6" s="39">
        <f t="shared" si="4"/>
        <v>1963.6848000000005</v>
      </c>
      <c r="Y6" s="39">
        <f t="shared" si="4"/>
        <v>2049.0624000000003</v>
      </c>
      <c r="Z6" s="39">
        <f>Z7*Z10</f>
        <v>2305.1952000000001</v>
      </c>
      <c r="AA6" s="39">
        <f>AA7*AA10</f>
        <v>2433.2616000000003</v>
      </c>
      <c r="AB6" s="48">
        <f>AB7*AB10</f>
        <v>2636.2731818181819</v>
      </c>
    </row>
    <row r="7" spans="1:28" x14ac:dyDescent="0.2">
      <c r="A7" s="12"/>
      <c r="B7" s="12"/>
      <c r="C7" s="9" t="s">
        <v>51</v>
      </c>
      <c r="D7" s="24">
        <v>0.20585205657519706</v>
      </c>
      <c r="E7" s="16">
        <v>0.16480200895785313</v>
      </c>
      <c r="F7" s="16">
        <v>0.12490489308671128</v>
      </c>
      <c r="G7" s="16">
        <v>0.11818226539300919</v>
      </c>
      <c r="H7" s="16">
        <v>0.1082832456799399</v>
      </c>
      <c r="I7" s="16">
        <v>0.11428489439853078</v>
      </c>
      <c r="J7" s="16">
        <v>0.14229142070051162</v>
      </c>
      <c r="K7" s="17">
        <v>0.14000000000000001</v>
      </c>
      <c r="L7" s="17">
        <v>0.14000000000000001</v>
      </c>
      <c r="M7" s="17">
        <v>0.16</v>
      </c>
      <c r="N7" s="17">
        <v>0.18</v>
      </c>
      <c r="O7" s="17">
        <v>0.19</v>
      </c>
      <c r="P7" s="17">
        <v>0.20585205657519706</v>
      </c>
      <c r="Q7" s="26">
        <v>0.16480200895785313</v>
      </c>
      <c r="R7" s="17">
        <v>0.12490489308671128</v>
      </c>
      <c r="S7" s="17">
        <v>0.11818226539300919</v>
      </c>
      <c r="T7" s="17">
        <v>0.1082832456799399</v>
      </c>
      <c r="U7" s="17">
        <v>0.11428489439853078</v>
      </c>
      <c r="V7" s="17">
        <v>0.14229142070051162</v>
      </c>
      <c r="W7" s="17">
        <v>0.14000000000000001</v>
      </c>
      <c r="X7" s="17">
        <v>0.14000000000000001</v>
      </c>
      <c r="Y7" s="17">
        <v>0.16</v>
      </c>
      <c r="Z7" s="17">
        <v>0.18</v>
      </c>
      <c r="AA7" s="17">
        <v>0.19</v>
      </c>
      <c r="AB7" s="18">
        <v>0.20585205657519706</v>
      </c>
    </row>
    <row r="8" spans="1:28" x14ac:dyDescent="0.2">
      <c r="A8" s="12"/>
      <c r="B8" s="12"/>
      <c r="C8" s="9"/>
      <c r="D8" s="54"/>
      <c r="E8" s="55"/>
      <c r="F8" s="55"/>
      <c r="G8" s="55"/>
      <c r="H8" s="55"/>
      <c r="I8" s="55"/>
      <c r="J8" s="55"/>
      <c r="K8" s="40"/>
      <c r="L8" s="40"/>
      <c r="M8" s="40"/>
      <c r="N8" s="40"/>
      <c r="O8" s="40"/>
      <c r="P8" s="40"/>
      <c r="Q8" s="56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x14ac:dyDescent="0.2">
      <c r="A9" s="12" t="s">
        <v>32</v>
      </c>
      <c r="B9" s="12"/>
      <c r="C9" s="9"/>
      <c r="D9" s="54"/>
      <c r="E9" s="55"/>
      <c r="F9" s="55"/>
      <c r="G9" s="55"/>
      <c r="H9" s="55"/>
      <c r="I9" s="55"/>
      <c r="J9" s="55"/>
      <c r="K9" s="40"/>
      <c r="L9" s="40"/>
      <c r="M9" s="40"/>
      <c r="N9" s="40"/>
      <c r="O9" s="40"/>
      <c r="P9" s="40"/>
      <c r="Q9" s="56"/>
      <c r="R9" s="40"/>
      <c r="S9" s="40"/>
      <c r="T9" s="40"/>
      <c r="U9" s="40"/>
      <c r="V9" s="40"/>
      <c r="W9" s="40"/>
      <c r="X9" s="40"/>
      <c r="Y9" s="40"/>
      <c r="Z9" s="40"/>
      <c r="AA9" s="40"/>
      <c r="AB9" s="41"/>
    </row>
    <row r="10" spans="1:28" x14ac:dyDescent="0.2">
      <c r="A10" s="12"/>
      <c r="B10" s="12" t="s">
        <v>33</v>
      </c>
      <c r="C10" s="9"/>
      <c r="D10" s="45">
        <f>SUM(D4:D6)</f>
        <v>13416.48</v>
      </c>
      <c r="E10" s="46">
        <f>SUM(E4:E6)</f>
        <v>12806.64</v>
      </c>
      <c r="F10" s="46">
        <f>3049.2*4</f>
        <v>12196.8</v>
      </c>
      <c r="G10" s="46">
        <f>3049.2*4+1219.68</f>
        <v>13416.48</v>
      </c>
      <c r="H10" s="46">
        <f>3049.2*3+1829.52+2439.36</f>
        <v>13416.48</v>
      </c>
      <c r="I10" s="46">
        <f>3049.2*3+609.84+2439.36</f>
        <v>12196.8</v>
      </c>
      <c r="J10" s="46">
        <f>3049.2*4+1219.68</f>
        <v>13416.48</v>
      </c>
      <c r="K10" s="39">
        <f>609.84*K3</f>
        <v>13416.480000000001</v>
      </c>
      <c r="L10" s="39">
        <f t="shared" ref="L10:AB10" si="5">609.84*L3</f>
        <v>12806.640000000001</v>
      </c>
      <c r="M10" s="39">
        <f t="shared" si="5"/>
        <v>12806.640000000001</v>
      </c>
      <c r="N10" s="39">
        <f t="shared" si="5"/>
        <v>13416.480000000001</v>
      </c>
      <c r="O10" s="39">
        <f t="shared" si="5"/>
        <v>12196.800000000001</v>
      </c>
      <c r="P10" s="39">
        <f t="shared" si="5"/>
        <v>12806.640000000001</v>
      </c>
      <c r="Q10" s="47">
        <f t="shared" si="5"/>
        <v>12196.800000000001</v>
      </c>
      <c r="R10" s="39">
        <f t="shared" si="5"/>
        <v>12806.640000000001</v>
      </c>
      <c r="S10" s="39">
        <f t="shared" si="5"/>
        <v>14026.320000000002</v>
      </c>
      <c r="T10" s="39">
        <f t="shared" si="5"/>
        <v>12806.640000000001</v>
      </c>
      <c r="U10" s="39">
        <f t="shared" si="5"/>
        <v>12806.640000000001</v>
      </c>
      <c r="V10" s="39">
        <f t="shared" si="5"/>
        <v>13416.480000000001</v>
      </c>
      <c r="W10" s="39">
        <f t="shared" si="5"/>
        <v>12806.640000000001</v>
      </c>
      <c r="X10" s="39">
        <f t="shared" si="5"/>
        <v>14026.320000000002</v>
      </c>
      <c r="Y10" s="39">
        <f t="shared" si="5"/>
        <v>12806.640000000001</v>
      </c>
      <c r="Z10" s="39">
        <f t="shared" si="5"/>
        <v>12806.640000000001</v>
      </c>
      <c r="AA10" s="39">
        <f t="shared" si="5"/>
        <v>12806.640000000001</v>
      </c>
      <c r="AB10" s="48">
        <f t="shared" si="5"/>
        <v>12806.640000000001</v>
      </c>
    </row>
    <row r="11" spans="1:28" x14ac:dyDescent="0.2">
      <c r="A11" s="12"/>
      <c r="B11" s="12" t="s">
        <v>34</v>
      </c>
      <c r="C11" s="9"/>
      <c r="D11" s="54"/>
      <c r="E11" s="55"/>
      <c r="F11" s="55"/>
      <c r="G11" s="55"/>
      <c r="H11" s="55"/>
      <c r="I11" s="55"/>
      <c r="J11" s="55"/>
      <c r="K11" s="40"/>
      <c r="L11" s="40"/>
      <c r="M11" s="40"/>
      <c r="N11" s="40"/>
      <c r="O11" s="40"/>
      <c r="P11" s="40"/>
      <c r="Q11" s="56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</row>
    <row r="12" spans="1:28" x14ac:dyDescent="0.2">
      <c r="A12" s="12"/>
      <c r="B12" s="12" t="s">
        <v>35</v>
      </c>
      <c r="C12" s="9"/>
      <c r="D12" s="54"/>
      <c r="E12" s="55"/>
      <c r="F12" s="55"/>
      <c r="G12" s="55"/>
      <c r="H12" s="55"/>
      <c r="I12" s="55"/>
      <c r="J12" s="55"/>
      <c r="K12" s="40"/>
      <c r="L12" s="40"/>
      <c r="M12" s="40"/>
      <c r="N12" s="40"/>
      <c r="O12" s="40"/>
      <c r="P12" s="40"/>
      <c r="Q12" s="56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x14ac:dyDescent="0.2">
      <c r="A13" s="12"/>
      <c r="B13" s="12"/>
      <c r="C13" s="9"/>
      <c r="D13" s="54"/>
      <c r="E13" s="55"/>
      <c r="F13" s="55"/>
      <c r="G13" s="55"/>
      <c r="H13" s="55"/>
      <c r="I13" s="55"/>
      <c r="J13" s="55"/>
      <c r="K13" s="40"/>
      <c r="L13" s="40"/>
      <c r="M13" s="40"/>
      <c r="N13" s="40"/>
      <c r="O13" s="40"/>
      <c r="P13" s="40"/>
      <c r="Q13" s="56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</row>
    <row r="14" spans="1:28" x14ac:dyDescent="0.2">
      <c r="A14" s="12" t="s">
        <v>36</v>
      </c>
      <c r="B14" s="12"/>
      <c r="C14" s="9"/>
      <c r="D14" s="54"/>
      <c r="E14" s="55"/>
      <c r="F14" s="55"/>
      <c r="G14" s="55"/>
      <c r="H14" s="55"/>
      <c r="I14" s="55"/>
      <c r="J14" s="55"/>
      <c r="K14" s="40"/>
      <c r="L14" s="40"/>
      <c r="M14" s="40"/>
      <c r="N14" s="40"/>
      <c r="O14" s="40"/>
      <c r="P14" s="40"/>
      <c r="Q14" s="56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x14ac:dyDescent="0.2">
      <c r="A15" s="19"/>
      <c r="B15" s="19" t="s">
        <v>37</v>
      </c>
      <c r="C15" s="20"/>
      <c r="D15" s="57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42">
        <f>SUM(K4:K6)-SUM(K10:K12)+J15</f>
        <v>-2.7999999983876478E-3</v>
      </c>
      <c r="L15" s="42">
        <f>SUM(L4:L6)-SUM(L10:L12)+K15</f>
        <v>-3.2000000010157237E-3</v>
      </c>
      <c r="M15" s="42">
        <f t="shared" ref="M15:AB15" si="6">SUM(M4:M6)-SUM(M10:M12)+L15</f>
        <v>-8.0000000161817297E-4</v>
      </c>
      <c r="N15" s="42">
        <f t="shared" si="6"/>
        <v>-4.4000000034429831E-3</v>
      </c>
      <c r="O15" s="42">
        <f t="shared" si="6"/>
        <v>-2.4000000048545189E-3</v>
      </c>
      <c r="P15" s="42">
        <f t="shared" si="6"/>
        <v>-9.2181818235985702E-3</v>
      </c>
      <c r="Q15" s="59">
        <f t="shared" si="6"/>
        <v>-1.2075324681063648E-2</v>
      </c>
      <c r="R15" s="42">
        <f t="shared" si="6"/>
        <v>-2296.0400753246813</v>
      </c>
      <c r="S15" s="42">
        <f t="shared" si="6"/>
        <v>-14664.697802597409</v>
      </c>
      <c r="T15" s="42">
        <f t="shared" si="6"/>
        <v>-26084.593257142864</v>
      </c>
      <c r="U15" s="42">
        <f t="shared" si="6"/>
        <v>-37427.627757142865</v>
      </c>
      <c r="V15" s="42">
        <f t="shared" si="6"/>
        <v>-48935.057757142866</v>
      </c>
      <c r="W15" s="42">
        <f t="shared" si="6"/>
        <v>-59948.768157142869</v>
      </c>
      <c r="X15" s="42">
        <f t="shared" si="6"/>
        <v>-72011.403357142874</v>
      </c>
      <c r="Y15" s="42">
        <f t="shared" si="6"/>
        <v>-82768.980957142878</v>
      </c>
      <c r="Z15" s="42">
        <f t="shared" si="6"/>
        <v>-93270.425757142875</v>
      </c>
      <c r="AA15" s="42">
        <f t="shared" si="6"/>
        <v>-103643.80415714288</v>
      </c>
      <c r="AB15" s="43">
        <f t="shared" si="6"/>
        <v>-113814.1709753247</v>
      </c>
    </row>
    <row r="17" spans="1:28" x14ac:dyDescent="0.2">
      <c r="A17" t="s">
        <v>52</v>
      </c>
      <c r="J17" s="30">
        <v>66766</v>
      </c>
      <c r="K17" s="31">
        <f>J17-K4</f>
        <v>57535.46</v>
      </c>
      <c r="L17" s="31">
        <f t="shared" ref="L17:AB17" si="7">K17-L4</f>
        <v>48724.49</v>
      </c>
      <c r="M17" s="31">
        <f t="shared" si="7"/>
        <v>40118.43</v>
      </c>
      <c r="N17" s="31">
        <f t="shared" si="7"/>
        <v>31317.22</v>
      </c>
      <c r="O17" s="31">
        <f t="shared" si="7"/>
        <v>23413.690000000002</v>
      </c>
      <c r="P17" s="31">
        <f t="shared" si="7"/>
        <v>15277.400000000001</v>
      </c>
      <c r="Q17" s="31">
        <f t="shared" si="7"/>
        <v>7128.0100000000011</v>
      </c>
      <c r="R17" s="31">
        <f t="shared" si="7"/>
        <v>1.0000000001127773E-2</v>
      </c>
      <c r="S17" s="31">
        <f t="shared" si="7"/>
        <v>1.0000000001127773E-2</v>
      </c>
      <c r="T17" s="31">
        <f t="shared" si="7"/>
        <v>1.0000000001127773E-2</v>
      </c>
      <c r="U17" s="31">
        <f t="shared" si="7"/>
        <v>1.0000000001127773E-2</v>
      </c>
      <c r="V17" s="31">
        <f t="shared" si="7"/>
        <v>1.0000000001127773E-2</v>
      </c>
      <c r="W17" s="31">
        <f t="shared" si="7"/>
        <v>1.0000000001127773E-2</v>
      </c>
      <c r="X17" s="31">
        <f t="shared" si="7"/>
        <v>1.0000000001127773E-2</v>
      </c>
      <c r="Y17" s="31">
        <f t="shared" si="7"/>
        <v>1.0000000001127773E-2</v>
      </c>
      <c r="Z17" s="31">
        <f t="shared" si="7"/>
        <v>1.0000000001127773E-2</v>
      </c>
      <c r="AA17" s="31">
        <f t="shared" si="7"/>
        <v>1.0000000001127773E-2</v>
      </c>
      <c r="AB17" s="31">
        <f t="shared" si="7"/>
        <v>1.0000000001127773E-2</v>
      </c>
    </row>
    <row r="18" spans="1:28" x14ac:dyDescent="0.2">
      <c r="A18" t="s">
        <v>53</v>
      </c>
      <c r="J18" s="31">
        <f>83458-J17</f>
        <v>16692</v>
      </c>
      <c r="K18" s="31">
        <f>J18-K5</f>
        <v>14384.369999999999</v>
      </c>
      <c r="L18" s="31">
        <f t="shared" ref="L18:AB18" si="8">K18-L5</f>
        <v>12181.63</v>
      </c>
      <c r="M18" s="31">
        <f t="shared" si="8"/>
        <v>10030.109999999999</v>
      </c>
      <c r="N18" s="31">
        <f t="shared" si="8"/>
        <v>7829.8099999999986</v>
      </c>
      <c r="O18" s="31">
        <f t="shared" si="8"/>
        <v>5853.9299999999985</v>
      </c>
      <c r="P18" s="31">
        <f t="shared" si="8"/>
        <v>3819.8599999999988</v>
      </c>
      <c r="Q18" s="31">
        <f t="shared" si="8"/>
        <v>1782.5099999999989</v>
      </c>
      <c r="R18" s="31">
        <f t="shared" si="8"/>
        <v>-0.49000000000114596</v>
      </c>
      <c r="S18" s="31">
        <f t="shared" si="8"/>
        <v>-0.49000000000114596</v>
      </c>
      <c r="T18" s="31">
        <f t="shared" si="8"/>
        <v>-0.49000000000114596</v>
      </c>
      <c r="U18" s="31">
        <f t="shared" si="8"/>
        <v>-0.49000000000114596</v>
      </c>
      <c r="V18" s="31">
        <f t="shared" si="8"/>
        <v>-0.49000000000114596</v>
      </c>
      <c r="W18" s="31">
        <f t="shared" si="8"/>
        <v>-0.49000000000114596</v>
      </c>
      <c r="X18" s="31">
        <f t="shared" si="8"/>
        <v>-0.49000000000114596</v>
      </c>
      <c r="Y18" s="31">
        <f t="shared" si="8"/>
        <v>-0.49000000000114596</v>
      </c>
      <c r="Z18" s="31">
        <f t="shared" si="8"/>
        <v>-0.49000000000114596</v>
      </c>
      <c r="AA18" s="31">
        <f t="shared" si="8"/>
        <v>-0.49000000000114596</v>
      </c>
      <c r="AB18" s="31">
        <f t="shared" si="8"/>
        <v>-0.49000000000114596</v>
      </c>
    </row>
    <row r="20" spans="1:28" x14ac:dyDescent="0.2">
      <c r="A20" t="s">
        <v>33</v>
      </c>
      <c r="C20" s="30">
        <v>155000</v>
      </c>
      <c r="D20" t="s">
        <v>66</v>
      </c>
    </row>
    <row r="21" spans="1:28" x14ac:dyDescent="0.2">
      <c r="A21" s="62" t="s">
        <v>67</v>
      </c>
      <c r="B21" s="62"/>
      <c r="C21" s="63">
        <v>23000</v>
      </c>
      <c r="D21" s="62" t="s">
        <v>66</v>
      </c>
    </row>
    <row r="22" spans="1:28" x14ac:dyDescent="0.2">
      <c r="A22" t="s">
        <v>69</v>
      </c>
      <c r="C22" s="31">
        <f>C20-C21</f>
        <v>132000</v>
      </c>
      <c r="D22" t="s">
        <v>66</v>
      </c>
    </row>
    <row r="23" spans="1:28" x14ac:dyDescent="0.2">
      <c r="C23" s="61" t="s">
        <v>68</v>
      </c>
    </row>
    <row r="24" spans="1:28" x14ac:dyDescent="0.2">
      <c r="A24" t="s">
        <v>77</v>
      </c>
      <c r="C24" s="31">
        <f>AB15</f>
        <v>-113814.1709753247</v>
      </c>
    </row>
  </sheetData>
  <mergeCells count="2">
    <mergeCell ref="E1:P1"/>
    <mergeCell ref="Q1:AB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9">
    <pageSetUpPr fitToPage="1"/>
  </sheetPr>
  <dimension ref="A1:Y58"/>
  <sheetViews>
    <sheetView zoomScale="70" zoomScaleNormal="70" workbookViewId="0">
      <pane ySplit="960" activePane="bottomLeft"/>
      <selection pane="bottomLeft" activeCell="I20" sqref="I20"/>
    </sheetView>
  </sheetViews>
  <sheetFormatPr baseColWidth="10" defaultColWidth="9.1640625" defaultRowHeight="14" x14ac:dyDescent="0.15"/>
  <cols>
    <col min="1" max="1" width="9.1640625" style="103"/>
    <col min="2" max="2" width="6.1640625" style="103" customWidth="1"/>
    <col min="3" max="3" width="17" style="103" customWidth="1"/>
    <col min="4" max="11" width="12.6640625" style="103" customWidth="1"/>
    <col min="12" max="15" width="13.33203125" style="103" customWidth="1"/>
    <col min="16" max="19" width="14.33203125" style="103" customWidth="1"/>
    <col min="20" max="23" width="14.6640625" style="103" customWidth="1"/>
    <col min="24" max="16384" width="9.1640625" style="103"/>
  </cols>
  <sheetData>
    <row r="1" spans="1:23" s="96" customFormat="1" ht="18" x14ac:dyDescent="0.2">
      <c r="A1" s="94" t="s">
        <v>124</v>
      </c>
      <c r="B1" s="95"/>
      <c r="C1" s="95"/>
      <c r="D1" s="188">
        <v>2015</v>
      </c>
      <c r="E1" s="189"/>
      <c r="F1" s="189"/>
      <c r="G1" s="190"/>
      <c r="H1" s="189">
        <v>2016</v>
      </c>
      <c r="I1" s="189"/>
      <c r="J1" s="189"/>
      <c r="K1" s="189"/>
      <c r="L1" s="188">
        <v>2017</v>
      </c>
      <c r="M1" s="189"/>
      <c r="N1" s="189"/>
      <c r="O1" s="190"/>
      <c r="P1" s="189">
        <v>2018</v>
      </c>
      <c r="Q1" s="189"/>
      <c r="R1" s="189"/>
      <c r="S1" s="189"/>
      <c r="T1" s="188">
        <v>2019</v>
      </c>
      <c r="U1" s="189"/>
      <c r="V1" s="189"/>
      <c r="W1" s="190"/>
    </row>
    <row r="2" spans="1:23" s="96" customFormat="1" ht="18" x14ac:dyDescent="0.2">
      <c r="A2" s="97"/>
      <c r="B2" s="98"/>
      <c r="C2" s="98" t="s">
        <v>114</v>
      </c>
      <c r="D2" s="149">
        <v>1</v>
      </c>
      <c r="E2" s="150">
        <v>2</v>
      </c>
      <c r="F2" s="150">
        <v>3</v>
      </c>
      <c r="G2" s="151">
        <v>4</v>
      </c>
      <c r="H2" s="155">
        <v>1</v>
      </c>
      <c r="I2" s="150">
        <v>2</v>
      </c>
      <c r="J2" s="150">
        <v>3</v>
      </c>
      <c r="K2" s="156">
        <v>4</v>
      </c>
      <c r="L2" s="149">
        <v>1</v>
      </c>
      <c r="M2" s="150">
        <v>2</v>
      </c>
      <c r="N2" s="150">
        <v>3</v>
      </c>
      <c r="O2" s="151">
        <v>4</v>
      </c>
      <c r="P2" s="155">
        <v>1</v>
      </c>
      <c r="Q2" s="150">
        <v>2</v>
      </c>
      <c r="R2" s="150">
        <v>3</v>
      </c>
      <c r="S2" s="156">
        <v>4</v>
      </c>
      <c r="T2" s="149">
        <v>1</v>
      </c>
      <c r="U2" s="150">
        <v>2</v>
      </c>
      <c r="V2" s="150">
        <v>3</v>
      </c>
      <c r="W2" s="151">
        <v>4</v>
      </c>
    </row>
    <row r="3" spans="1:23" s="96" customFormat="1" ht="19" thickBot="1" x14ac:dyDescent="0.25">
      <c r="A3" s="147"/>
      <c r="B3" s="148"/>
      <c r="C3" s="148" t="s">
        <v>50</v>
      </c>
      <c r="D3" s="152">
        <v>63</v>
      </c>
      <c r="E3" s="153">
        <v>64</v>
      </c>
      <c r="F3" s="153">
        <v>64</v>
      </c>
      <c r="G3" s="154">
        <v>63</v>
      </c>
      <c r="H3" s="157">
        <v>64</v>
      </c>
      <c r="I3" s="153">
        <v>64</v>
      </c>
      <c r="J3" s="153">
        <v>65</v>
      </c>
      <c r="K3" s="158">
        <v>63</v>
      </c>
      <c r="L3" s="152">
        <f>22+20+22</f>
        <v>64</v>
      </c>
      <c r="M3" s="153">
        <f>20+23+22</f>
        <v>65</v>
      </c>
      <c r="N3" s="153">
        <f>20+23+21</f>
        <v>64</v>
      </c>
      <c r="O3" s="154">
        <f>22+21+20</f>
        <v>63</v>
      </c>
      <c r="P3" s="157">
        <f>22+20+22</f>
        <v>64</v>
      </c>
      <c r="Q3" s="153">
        <f>21+22+21</f>
        <v>64</v>
      </c>
      <c r="R3" s="153">
        <f>21+23+20</f>
        <v>64</v>
      </c>
      <c r="S3" s="158">
        <f>22+21+20</f>
        <v>63</v>
      </c>
      <c r="T3" s="159">
        <f>22+20+21</f>
        <v>63</v>
      </c>
      <c r="U3" s="160">
        <f>22+23+20</f>
        <v>65</v>
      </c>
      <c r="V3" s="160">
        <f>21+22+21</f>
        <v>64</v>
      </c>
      <c r="W3" s="161">
        <f>23+20+21</f>
        <v>64</v>
      </c>
    </row>
    <row r="4" spans="1:23" x14ac:dyDescent="0.15">
      <c r="A4" s="99" t="s">
        <v>108</v>
      </c>
      <c r="B4" s="100"/>
      <c r="C4" s="100"/>
      <c r="D4" s="101"/>
      <c r="E4" s="100"/>
      <c r="F4" s="100"/>
      <c r="G4" s="102"/>
      <c r="H4" s="100"/>
      <c r="I4" s="100"/>
      <c r="J4" s="100"/>
      <c r="K4" s="100"/>
      <c r="L4" s="101"/>
      <c r="M4" s="100"/>
      <c r="N4" s="100"/>
      <c r="O4" s="102"/>
      <c r="P4" s="100"/>
      <c r="Q4" s="100"/>
      <c r="R4" s="100"/>
      <c r="S4" s="100"/>
      <c r="T4" s="101"/>
      <c r="U4" s="100"/>
      <c r="V4" s="100"/>
      <c r="W4" s="102"/>
    </row>
    <row r="5" spans="1:23" x14ac:dyDescent="0.15">
      <c r="A5" s="101" t="s">
        <v>29</v>
      </c>
      <c r="B5" s="100"/>
      <c r="C5" s="100"/>
      <c r="D5" s="101"/>
      <c r="E5" s="100"/>
      <c r="F5" s="100"/>
      <c r="G5" s="102"/>
      <c r="H5" s="100"/>
      <c r="I5" s="100"/>
      <c r="J5" s="100"/>
      <c r="K5" s="100"/>
      <c r="L5" s="101"/>
      <c r="M5" s="100"/>
      <c r="N5" s="100"/>
      <c r="O5" s="102"/>
      <c r="P5" s="100"/>
      <c r="Q5" s="100"/>
      <c r="R5" s="100"/>
      <c r="S5" s="100"/>
      <c r="T5" s="101"/>
      <c r="U5" s="100"/>
      <c r="V5" s="100"/>
      <c r="W5" s="102"/>
    </row>
    <row r="6" spans="1:23" x14ac:dyDescent="0.15">
      <c r="A6" s="101"/>
      <c r="B6" s="100" t="s">
        <v>111</v>
      </c>
      <c r="C6" s="100"/>
      <c r="D6" s="104">
        <v>26560.260000000002</v>
      </c>
      <c r="E6" s="105">
        <v>27419.21</v>
      </c>
      <c r="F6" s="105">
        <f>F17*0.8</f>
        <v>31223.808000000005</v>
      </c>
      <c r="G6" s="106">
        <f>G17*0.8</f>
        <v>30735.936000000005</v>
      </c>
      <c r="H6" s="105">
        <f>G21</f>
        <v>4806.2559999999903</v>
      </c>
      <c r="I6" s="105">
        <v>0</v>
      </c>
      <c r="J6" s="163">
        <v>0</v>
      </c>
      <c r="K6" s="163">
        <v>0</v>
      </c>
      <c r="L6" s="164">
        <v>0</v>
      </c>
      <c r="M6" s="163">
        <v>0</v>
      </c>
      <c r="N6" s="163">
        <v>0</v>
      </c>
      <c r="O6" s="165">
        <v>0</v>
      </c>
      <c r="P6" s="163">
        <v>0</v>
      </c>
      <c r="Q6" s="163">
        <v>0</v>
      </c>
      <c r="R6" s="163">
        <v>0</v>
      </c>
      <c r="S6" s="163">
        <v>0</v>
      </c>
      <c r="T6" s="164">
        <v>0</v>
      </c>
      <c r="U6" s="163">
        <v>0</v>
      </c>
      <c r="V6" s="163">
        <v>0</v>
      </c>
      <c r="W6" s="165">
        <v>0</v>
      </c>
    </row>
    <row r="7" spans="1:23" x14ac:dyDescent="0.15">
      <c r="A7" s="101"/>
      <c r="B7" s="100" t="s">
        <v>31</v>
      </c>
      <c r="C7" s="100"/>
      <c r="D7" s="104">
        <v>6640.07</v>
      </c>
      <c r="E7" s="105">
        <v>6854.8099999999995</v>
      </c>
      <c r="F7" s="105">
        <f>F17*0.2</f>
        <v>7805.9520000000011</v>
      </c>
      <c r="G7" s="106">
        <f>G17*0.2</f>
        <v>7683.9840000000013</v>
      </c>
      <c r="H7" s="105">
        <v>0</v>
      </c>
      <c r="I7" s="105">
        <v>0</v>
      </c>
      <c r="J7" s="105">
        <v>0</v>
      </c>
      <c r="K7" s="105">
        <v>0</v>
      </c>
      <c r="L7" s="104">
        <v>0</v>
      </c>
      <c r="M7" s="105">
        <v>0</v>
      </c>
      <c r="N7" s="105">
        <v>0</v>
      </c>
      <c r="O7" s="106">
        <v>0</v>
      </c>
      <c r="P7" s="105">
        <v>0</v>
      </c>
      <c r="Q7" s="105">
        <v>0</v>
      </c>
      <c r="R7" s="105">
        <v>0</v>
      </c>
      <c r="S7" s="105">
        <v>0</v>
      </c>
      <c r="T7" s="104">
        <v>0</v>
      </c>
      <c r="U7" s="105">
        <v>0</v>
      </c>
      <c r="V7" s="105">
        <v>0</v>
      </c>
      <c r="W7" s="106">
        <v>0</v>
      </c>
    </row>
    <row r="8" spans="1:23" x14ac:dyDescent="0.15">
      <c r="A8" s="101"/>
      <c r="B8" s="100" t="s">
        <v>103</v>
      </c>
      <c r="C8" s="100"/>
      <c r="D8" s="104"/>
      <c r="E8" s="105"/>
      <c r="F8" s="105"/>
      <c r="G8" s="106"/>
      <c r="H8" s="105">
        <v>15000</v>
      </c>
      <c r="I8" s="105">
        <v>15000</v>
      </c>
      <c r="J8" s="105">
        <v>15000</v>
      </c>
      <c r="K8" s="105">
        <v>15000</v>
      </c>
      <c r="L8" s="104"/>
      <c r="M8" s="105"/>
      <c r="N8" s="105"/>
      <c r="O8" s="106"/>
      <c r="P8" s="105"/>
      <c r="Q8" s="105"/>
      <c r="R8" s="105"/>
      <c r="S8" s="105"/>
      <c r="T8" s="104"/>
      <c r="U8" s="105"/>
      <c r="V8" s="105"/>
      <c r="W8" s="106"/>
    </row>
    <row r="9" spans="1:23" x14ac:dyDescent="0.15">
      <c r="A9" s="101"/>
      <c r="B9" s="100" t="s">
        <v>115</v>
      </c>
      <c r="C9" s="100"/>
      <c r="D9" s="104"/>
      <c r="E9" s="105"/>
      <c r="F9" s="105"/>
      <c r="G9" s="106"/>
      <c r="H9" s="105"/>
      <c r="I9" s="105"/>
      <c r="J9" s="105"/>
      <c r="K9" s="105"/>
      <c r="L9" s="104"/>
      <c r="M9" s="105"/>
      <c r="N9" s="105"/>
      <c r="O9" s="106"/>
      <c r="P9" s="105"/>
      <c r="Q9" s="105"/>
      <c r="R9" s="105"/>
      <c r="S9" s="105"/>
      <c r="T9" s="104"/>
      <c r="U9" s="105"/>
      <c r="V9" s="105"/>
      <c r="W9" s="106"/>
    </row>
    <row r="10" spans="1:23" x14ac:dyDescent="0.15">
      <c r="A10" s="101"/>
      <c r="B10" s="100" t="s">
        <v>38</v>
      </c>
      <c r="C10" s="100"/>
      <c r="D10" s="104">
        <v>5219.59</v>
      </c>
      <c r="E10" s="105">
        <v>4755.74</v>
      </c>
      <c r="F10" s="105">
        <f>1528*3</f>
        <v>4584</v>
      </c>
      <c r="G10" s="106">
        <v>7368.6315818181829</v>
      </c>
      <c r="H10" s="105">
        <v>5267.3314155844164</v>
      </c>
      <c r="I10" s="105">
        <v>4759.4000454545467</v>
      </c>
      <c r="J10" s="105">
        <f>2030*3</f>
        <v>6090</v>
      </c>
      <c r="K10" s="105">
        <v>7374.7299818181818</v>
      </c>
      <c r="L10" s="104">
        <v>5267.3314155844164</v>
      </c>
      <c r="M10" s="105">
        <v>4759.4000454545467</v>
      </c>
      <c r="N10" s="105">
        <f>2030*3</f>
        <v>6090</v>
      </c>
      <c r="O10" s="106">
        <v>7374.7299818181818</v>
      </c>
      <c r="P10" s="105">
        <v>5267.3314155844164</v>
      </c>
      <c r="Q10" s="105">
        <v>4759.4000454545467</v>
      </c>
      <c r="R10" s="105">
        <f>2030*3</f>
        <v>6090</v>
      </c>
      <c r="S10" s="105">
        <v>7374.7299818181818</v>
      </c>
      <c r="T10" s="104">
        <v>5267.3314155844164</v>
      </c>
      <c r="U10" s="105">
        <v>4759.4000454545467</v>
      </c>
      <c r="V10" s="105">
        <f>2030*3</f>
        <v>6090</v>
      </c>
      <c r="W10" s="106">
        <v>7374.7299818181818</v>
      </c>
    </row>
    <row r="11" spans="1:23" x14ac:dyDescent="0.15">
      <c r="A11" s="101"/>
      <c r="B11" s="100"/>
      <c r="C11" s="100" t="s">
        <v>51</v>
      </c>
      <c r="D11" s="104"/>
      <c r="E11" s="105"/>
      <c r="F11" s="105"/>
      <c r="G11" s="106"/>
      <c r="H11" s="105"/>
      <c r="I11" s="105"/>
      <c r="J11" s="105"/>
      <c r="K11" s="105"/>
      <c r="L11" s="107">
        <f t="shared" ref="L11:W11" si="0">L10/L17</f>
        <v>0.13495679746901892</v>
      </c>
      <c r="M11" s="108">
        <f t="shared" si="0"/>
        <v>0.1200668030316791</v>
      </c>
      <c r="N11" s="108">
        <f t="shared" si="0"/>
        <v>0.15603477961432505</v>
      </c>
      <c r="O11" s="109">
        <f t="shared" si="0"/>
        <v>0.19195068552506567</v>
      </c>
      <c r="P11" s="107">
        <f t="shared" si="0"/>
        <v>0.13495679746901892</v>
      </c>
      <c r="Q11" s="108">
        <f t="shared" si="0"/>
        <v>0.12194284682904907</v>
      </c>
      <c r="R11" s="108">
        <f t="shared" si="0"/>
        <v>0.15603477961432505</v>
      </c>
      <c r="S11" s="109">
        <f t="shared" si="0"/>
        <v>0.19195068552506567</v>
      </c>
      <c r="T11" s="107">
        <f t="shared" si="0"/>
        <v>0.13709896885741604</v>
      </c>
      <c r="U11" s="108">
        <f t="shared" si="0"/>
        <v>0.1200668030316791</v>
      </c>
      <c r="V11" s="108">
        <f t="shared" si="0"/>
        <v>0.15603477961432505</v>
      </c>
      <c r="W11" s="109">
        <f t="shared" si="0"/>
        <v>0.18895145606373653</v>
      </c>
    </row>
    <row r="12" spans="1:23" x14ac:dyDescent="0.15">
      <c r="A12" s="101"/>
      <c r="B12" s="100" t="s">
        <v>59</v>
      </c>
      <c r="C12" s="100"/>
      <c r="D12" s="104"/>
      <c r="E12" s="105"/>
      <c r="F12" s="105"/>
      <c r="G12" s="106"/>
      <c r="H12" s="105">
        <v>12500</v>
      </c>
      <c r="I12" s="105"/>
      <c r="J12" s="105"/>
      <c r="K12" s="105"/>
      <c r="L12" s="101"/>
      <c r="M12" s="100"/>
      <c r="N12" s="100"/>
      <c r="O12" s="102"/>
      <c r="P12" s="100"/>
      <c r="Q12" s="100"/>
      <c r="R12" s="100"/>
      <c r="S12" s="100"/>
      <c r="T12" s="101"/>
      <c r="U12" s="100"/>
      <c r="V12" s="100"/>
      <c r="W12" s="102"/>
    </row>
    <row r="13" spans="1:23" x14ac:dyDescent="0.15">
      <c r="A13" s="101"/>
      <c r="B13" s="100" t="s">
        <v>60</v>
      </c>
      <c r="C13" s="100"/>
      <c r="D13" s="104"/>
      <c r="E13" s="105"/>
      <c r="F13" s="105"/>
      <c r="G13" s="106"/>
      <c r="H13" s="105">
        <v>25000</v>
      </c>
      <c r="I13" s="105"/>
      <c r="J13" s="105"/>
      <c r="K13" s="105"/>
      <c r="L13" s="101"/>
      <c r="M13" s="100"/>
      <c r="N13" s="100"/>
      <c r="O13" s="102"/>
      <c r="P13" s="100"/>
      <c r="Q13" s="100"/>
      <c r="R13" s="100"/>
      <c r="S13" s="100"/>
      <c r="T13" s="101"/>
      <c r="U13" s="100"/>
      <c r="V13" s="100"/>
      <c r="W13" s="102"/>
    </row>
    <row r="14" spans="1:23" x14ac:dyDescent="0.15">
      <c r="A14" s="101"/>
      <c r="B14" s="100" t="s">
        <v>109</v>
      </c>
      <c r="C14" s="100"/>
      <c r="D14" s="104">
        <f>SUM(D6:D13)</f>
        <v>38419.919999999998</v>
      </c>
      <c r="E14" s="105">
        <f t="shared" ref="E14:W14" si="1">SUM(E6:E13)</f>
        <v>39029.759999999995</v>
      </c>
      <c r="F14" s="105">
        <f t="shared" si="1"/>
        <v>43613.760000000009</v>
      </c>
      <c r="G14" s="106">
        <f t="shared" si="1"/>
        <v>45788.551581818188</v>
      </c>
      <c r="H14" s="105">
        <f t="shared" si="1"/>
        <v>62573.587415584407</v>
      </c>
      <c r="I14" s="105">
        <f t="shared" si="1"/>
        <v>19759.400045454546</v>
      </c>
      <c r="J14" s="105">
        <f t="shared" si="1"/>
        <v>21090</v>
      </c>
      <c r="K14" s="105">
        <f t="shared" si="1"/>
        <v>22374.729981818182</v>
      </c>
      <c r="L14" s="104">
        <f t="shared" si="1"/>
        <v>5267.4663723818858</v>
      </c>
      <c r="M14" s="105">
        <f t="shared" si="1"/>
        <v>4759.5201122575781</v>
      </c>
      <c r="N14" s="105">
        <f t="shared" si="1"/>
        <v>6090.1560347796139</v>
      </c>
      <c r="O14" s="106">
        <f t="shared" si="1"/>
        <v>7374.9219325037066</v>
      </c>
      <c r="P14" s="105">
        <f t="shared" si="1"/>
        <v>5267.4663723818858</v>
      </c>
      <c r="Q14" s="105">
        <f t="shared" si="1"/>
        <v>4759.521988301376</v>
      </c>
      <c r="R14" s="105">
        <f t="shared" si="1"/>
        <v>6090.1560347796139</v>
      </c>
      <c r="S14" s="105">
        <f t="shared" si="1"/>
        <v>7374.9219325037066</v>
      </c>
      <c r="T14" s="104">
        <f t="shared" si="1"/>
        <v>5267.468514553274</v>
      </c>
      <c r="U14" s="105">
        <f t="shared" si="1"/>
        <v>4759.5201122575781</v>
      </c>
      <c r="V14" s="105">
        <f t="shared" si="1"/>
        <v>6090.1560347796139</v>
      </c>
      <c r="W14" s="106">
        <f t="shared" si="1"/>
        <v>7374.9189332742453</v>
      </c>
    </row>
    <row r="15" spans="1:23" x14ac:dyDescent="0.15">
      <c r="A15" s="101"/>
      <c r="B15" s="100"/>
      <c r="C15" s="100"/>
      <c r="D15" s="104"/>
      <c r="E15" s="105"/>
      <c r="F15" s="105"/>
      <c r="G15" s="106"/>
      <c r="H15" s="105"/>
      <c r="I15" s="105"/>
      <c r="J15" s="105"/>
      <c r="K15" s="105"/>
      <c r="L15" s="101"/>
      <c r="M15" s="100"/>
      <c r="N15" s="100"/>
      <c r="O15" s="102"/>
      <c r="P15" s="100"/>
      <c r="Q15" s="100"/>
      <c r="R15" s="100"/>
      <c r="S15" s="100"/>
      <c r="T15" s="101"/>
      <c r="U15" s="100"/>
      <c r="V15" s="100"/>
      <c r="W15" s="102"/>
    </row>
    <row r="16" spans="1:23" x14ac:dyDescent="0.15">
      <c r="A16" s="101" t="s">
        <v>32</v>
      </c>
      <c r="B16" s="100"/>
      <c r="C16" s="100"/>
      <c r="D16" s="104"/>
      <c r="E16" s="105"/>
      <c r="F16" s="105"/>
      <c r="G16" s="106"/>
      <c r="H16" s="105"/>
      <c r="I16" s="105"/>
      <c r="J16" s="105"/>
      <c r="K16" s="105"/>
      <c r="L16" s="101"/>
      <c r="M16" s="100"/>
      <c r="N16" s="100"/>
      <c r="O16" s="102"/>
      <c r="P16" s="100"/>
      <c r="Q16" s="100"/>
      <c r="R16" s="100"/>
      <c r="S16" s="100"/>
      <c r="T16" s="101"/>
      <c r="U16" s="100"/>
      <c r="V16" s="100"/>
      <c r="W16" s="102"/>
    </row>
    <row r="17" spans="1:25" x14ac:dyDescent="0.15">
      <c r="A17" s="101"/>
      <c r="B17" s="100" t="s">
        <v>33</v>
      </c>
      <c r="C17" s="100"/>
      <c r="D17" s="104">
        <v>38419.919999999998</v>
      </c>
      <c r="E17" s="105">
        <v>39029.759999999995</v>
      </c>
      <c r="F17" s="105">
        <v>39029.760000000002</v>
      </c>
      <c r="G17" s="106">
        <v>38419.920000000006</v>
      </c>
      <c r="H17" s="105">
        <v>39029.760000000002</v>
      </c>
      <c r="I17" s="105">
        <v>39029.760000000002</v>
      </c>
      <c r="J17" s="105">
        <v>39639.600000000006</v>
      </c>
      <c r="K17" s="110">
        <f>609.84*K3</f>
        <v>38419.920000000006</v>
      </c>
      <c r="L17" s="111">
        <f t="shared" ref="L17:W17" si="2">609.84*L3</f>
        <v>39029.760000000002</v>
      </c>
      <c r="M17" s="110">
        <f t="shared" si="2"/>
        <v>39639.599999999999</v>
      </c>
      <c r="N17" s="110">
        <f t="shared" si="2"/>
        <v>39029.760000000002</v>
      </c>
      <c r="O17" s="112">
        <f t="shared" si="2"/>
        <v>38419.920000000006</v>
      </c>
      <c r="P17" s="110">
        <f t="shared" si="2"/>
        <v>39029.760000000002</v>
      </c>
      <c r="Q17" s="110">
        <f t="shared" si="2"/>
        <v>39029.760000000002</v>
      </c>
      <c r="R17" s="110">
        <f t="shared" si="2"/>
        <v>39029.760000000002</v>
      </c>
      <c r="S17" s="110">
        <f t="shared" si="2"/>
        <v>38419.920000000006</v>
      </c>
      <c r="T17" s="111">
        <f t="shared" si="2"/>
        <v>38419.920000000006</v>
      </c>
      <c r="U17" s="110">
        <f t="shared" si="2"/>
        <v>39639.599999999999</v>
      </c>
      <c r="V17" s="110">
        <f t="shared" si="2"/>
        <v>39029.760000000002</v>
      </c>
      <c r="W17" s="112">
        <f t="shared" si="2"/>
        <v>39029.760000000002</v>
      </c>
      <c r="X17" s="162">
        <v>48.4</v>
      </c>
      <c r="Y17" s="103" t="s">
        <v>119</v>
      </c>
    </row>
    <row r="18" spans="1:25" x14ac:dyDescent="0.15">
      <c r="A18" s="101"/>
      <c r="B18" s="100" t="s">
        <v>128</v>
      </c>
      <c r="C18" s="100"/>
      <c r="D18" s="104">
        <v>0</v>
      </c>
      <c r="E18" s="105">
        <v>0</v>
      </c>
      <c r="F18" s="105">
        <v>0</v>
      </c>
      <c r="G18" s="106">
        <v>0</v>
      </c>
      <c r="H18" s="105">
        <v>0</v>
      </c>
      <c r="I18" s="105">
        <v>0</v>
      </c>
      <c r="J18" s="105">
        <v>0</v>
      </c>
      <c r="K18" s="105">
        <v>0</v>
      </c>
      <c r="L18" s="104">
        <v>0</v>
      </c>
      <c r="M18" s="105">
        <v>0</v>
      </c>
      <c r="N18" s="105">
        <v>0</v>
      </c>
      <c r="O18" s="106">
        <v>0</v>
      </c>
      <c r="P18" s="105">
        <v>0</v>
      </c>
      <c r="Q18" s="105">
        <v>0</v>
      </c>
      <c r="R18" s="105">
        <v>0</v>
      </c>
      <c r="S18" s="105">
        <v>0</v>
      </c>
      <c r="T18" s="104">
        <v>0</v>
      </c>
      <c r="U18" s="105">
        <v>0</v>
      </c>
      <c r="V18" s="105">
        <v>0</v>
      </c>
      <c r="W18" s="106">
        <v>0</v>
      </c>
    </row>
    <row r="19" spans="1:25" x14ac:dyDescent="0.15">
      <c r="A19" s="101"/>
      <c r="B19" s="100" t="s">
        <v>109</v>
      </c>
      <c r="C19" s="100"/>
      <c r="D19" s="104">
        <f t="shared" ref="D19:K19" si="3">SUM(D17:D18)</f>
        <v>38419.919999999998</v>
      </c>
      <c r="E19" s="105">
        <f t="shared" si="3"/>
        <v>39029.759999999995</v>
      </c>
      <c r="F19" s="105">
        <f t="shared" si="3"/>
        <v>39029.760000000002</v>
      </c>
      <c r="G19" s="106">
        <f t="shared" si="3"/>
        <v>38419.920000000006</v>
      </c>
      <c r="H19" s="105">
        <f t="shared" si="3"/>
        <v>39029.760000000002</v>
      </c>
      <c r="I19" s="105">
        <f t="shared" si="3"/>
        <v>39029.760000000002</v>
      </c>
      <c r="J19" s="105">
        <f t="shared" si="3"/>
        <v>39639.600000000006</v>
      </c>
      <c r="K19" s="105">
        <f t="shared" si="3"/>
        <v>38419.920000000006</v>
      </c>
      <c r="L19" s="104">
        <f t="shared" ref="L19:W19" si="4">SUM(L17:L18)</f>
        <v>39029.760000000002</v>
      </c>
      <c r="M19" s="105">
        <f t="shared" si="4"/>
        <v>39639.599999999999</v>
      </c>
      <c r="N19" s="105">
        <f t="shared" si="4"/>
        <v>39029.760000000002</v>
      </c>
      <c r="O19" s="106">
        <f t="shared" si="4"/>
        <v>38419.920000000006</v>
      </c>
      <c r="P19" s="105">
        <f t="shared" si="4"/>
        <v>39029.760000000002</v>
      </c>
      <c r="Q19" s="105">
        <f t="shared" si="4"/>
        <v>39029.760000000002</v>
      </c>
      <c r="R19" s="105">
        <f t="shared" si="4"/>
        <v>39029.760000000002</v>
      </c>
      <c r="S19" s="105">
        <f t="shared" si="4"/>
        <v>38419.920000000006</v>
      </c>
      <c r="T19" s="104">
        <f t="shared" si="4"/>
        <v>38419.920000000006</v>
      </c>
      <c r="U19" s="105">
        <f t="shared" si="4"/>
        <v>39639.599999999999</v>
      </c>
      <c r="V19" s="105">
        <f t="shared" si="4"/>
        <v>39029.760000000002</v>
      </c>
      <c r="W19" s="106">
        <f t="shared" si="4"/>
        <v>39029.760000000002</v>
      </c>
    </row>
    <row r="20" spans="1:25" x14ac:dyDescent="0.15">
      <c r="A20" s="101"/>
      <c r="B20" s="100"/>
      <c r="C20" s="100"/>
      <c r="D20" s="104"/>
      <c r="E20" s="105"/>
      <c r="F20" s="105"/>
      <c r="G20" s="106"/>
      <c r="H20" s="105"/>
      <c r="I20" s="105"/>
      <c r="J20" s="105"/>
      <c r="K20" s="105"/>
      <c r="L20" s="101"/>
      <c r="M20" s="100"/>
      <c r="N20" s="100"/>
      <c r="O20" s="102"/>
      <c r="P20" s="100"/>
      <c r="Q20" s="100"/>
      <c r="R20" s="100"/>
      <c r="S20" s="100"/>
      <c r="T20" s="101"/>
      <c r="U20" s="100"/>
      <c r="V20" s="100"/>
      <c r="W20" s="102"/>
    </row>
    <row r="21" spans="1:25" x14ac:dyDescent="0.15">
      <c r="A21" s="101" t="s">
        <v>52</v>
      </c>
      <c r="B21" s="100"/>
      <c r="C21" s="100"/>
      <c r="D21" s="104">
        <v>0</v>
      </c>
      <c r="E21" s="105">
        <v>66766</v>
      </c>
      <c r="F21" s="105">
        <f>E21-F6</f>
        <v>35542.191999999995</v>
      </c>
      <c r="G21" s="106">
        <f>F21-G6</f>
        <v>4806.2559999999903</v>
      </c>
      <c r="H21" s="105">
        <v>0</v>
      </c>
      <c r="I21" s="105">
        <v>0</v>
      </c>
      <c r="J21" s="105">
        <v>0</v>
      </c>
      <c r="K21" s="105">
        <v>0</v>
      </c>
      <c r="L21" s="104">
        <v>0</v>
      </c>
      <c r="M21" s="105">
        <v>0</v>
      </c>
      <c r="N21" s="105">
        <v>0</v>
      </c>
      <c r="O21" s="106">
        <v>0</v>
      </c>
      <c r="P21" s="105">
        <v>0</v>
      </c>
      <c r="Q21" s="105">
        <v>0</v>
      </c>
      <c r="R21" s="105">
        <v>0</v>
      </c>
      <c r="S21" s="105">
        <v>0</v>
      </c>
      <c r="T21" s="104">
        <v>0</v>
      </c>
      <c r="U21" s="105">
        <v>0</v>
      </c>
      <c r="V21" s="105">
        <v>0</v>
      </c>
      <c r="W21" s="106">
        <v>0</v>
      </c>
    </row>
    <row r="22" spans="1:25" x14ac:dyDescent="0.15">
      <c r="A22" s="101" t="s">
        <v>102</v>
      </c>
      <c r="B22" s="100"/>
      <c r="C22" s="100"/>
      <c r="D22" s="104">
        <v>0</v>
      </c>
      <c r="E22" s="105">
        <v>16692</v>
      </c>
      <c r="F22" s="105">
        <v>10030.11</v>
      </c>
      <c r="G22" s="106">
        <f>F22-G7</f>
        <v>2346.1259999999993</v>
      </c>
      <c r="H22" s="105">
        <v>0</v>
      </c>
      <c r="I22" s="105">
        <v>0</v>
      </c>
      <c r="J22" s="105">
        <v>0</v>
      </c>
      <c r="K22" s="105">
        <v>0</v>
      </c>
      <c r="L22" s="104">
        <v>0</v>
      </c>
      <c r="M22" s="105">
        <v>0</v>
      </c>
      <c r="N22" s="105">
        <v>0</v>
      </c>
      <c r="O22" s="106">
        <v>0</v>
      </c>
      <c r="P22" s="105">
        <v>0</v>
      </c>
      <c r="Q22" s="105">
        <v>0</v>
      </c>
      <c r="R22" s="105">
        <v>0</v>
      </c>
      <c r="S22" s="105">
        <v>0</v>
      </c>
      <c r="T22" s="104">
        <v>0</v>
      </c>
      <c r="U22" s="105">
        <v>0</v>
      </c>
      <c r="V22" s="105">
        <v>0</v>
      </c>
      <c r="W22" s="106">
        <v>0</v>
      </c>
    </row>
    <row r="23" spans="1:25" x14ac:dyDescent="0.15">
      <c r="A23" s="113" t="s">
        <v>121</v>
      </c>
      <c r="B23" s="114"/>
      <c r="C23" s="114"/>
      <c r="D23" s="113"/>
      <c r="E23" s="115"/>
      <c r="F23" s="115">
        <f>ROUND(E23+F14-F19,0)</f>
        <v>4584</v>
      </c>
      <c r="G23" s="116">
        <f>ROUND(F23+G14-G19,0)</f>
        <v>11953</v>
      </c>
      <c r="H23" s="115">
        <f t="shared" ref="H23:W23" si="5">G23+H14-H19</f>
        <v>35496.827415584405</v>
      </c>
      <c r="I23" s="115">
        <f t="shared" si="5"/>
        <v>16226.467461038948</v>
      </c>
      <c r="J23" s="115">
        <f t="shared" si="5"/>
        <v>-2323.1325389610574</v>
      </c>
      <c r="K23" s="115">
        <f t="shared" si="5"/>
        <v>-18368.322557142881</v>
      </c>
      <c r="L23" s="117">
        <f t="shared" si="5"/>
        <v>-52130.616184760998</v>
      </c>
      <c r="M23" s="115">
        <f t="shared" si="5"/>
        <v>-87010.69607250343</v>
      </c>
      <c r="N23" s="115">
        <f t="shared" si="5"/>
        <v>-119950.30003772382</v>
      </c>
      <c r="O23" s="116">
        <f t="shared" si="5"/>
        <v>-150995.29810522011</v>
      </c>
      <c r="P23" s="115">
        <f t="shared" si="5"/>
        <v>-184757.59173283822</v>
      </c>
      <c r="Q23" s="115">
        <f t="shared" si="5"/>
        <v>-219027.82974453687</v>
      </c>
      <c r="R23" s="115">
        <f t="shared" si="5"/>
        <v>-251967.43370975726</v>
      </c>
      <c r="S23" s="115">
        <f t="shared" si="5"/>
        <v>-283012.43177725357</v>
      </c>
      <c r="T23" s="117">
        <f t="shared" si="5"/>
        <v>-316164.88326270028</v>
      </c>
      <c r="U23" s="115">
        <f t="shared" si="5"/>
        <v>-351044.96315044269</v>
      </c>
      <c r="V23" s="115">
        <f t="shared" si="5"/>
        <v>-383984.56711566309</v>
      </c>
      <c r="W23" s="116">
        <f t="shared" si="5"/>
        <v>-415639.40818238887</v>
      </c>
    </row>
    <row r="24" spans="1:25" x14ac:dyDescent="0.15">
      <c r="A24" s="101"/>
      <c r="B24" s="100"/>
      <c r="C24" s="100"/>
      <c r="D24" s="101"/>
      <c r="E24" s="100"/>
      <c r="F24" s="100"/>
      <c r="G24" s="102"/>
      <c r="H24" s="100"/>
      <c r="I24" s="100"/>
      <c r="J24" s="100"/>
      <c r="K24" s="100"/>
      <c r="L24" s="101"/>
      <c r="M24" s="100"/>
      <c r="N24" s="100"/>
      <c r="O24" s="102"/>
      <c r="P24" s="100"/>
      <c r="Q24" s="100"/>
      <c r="R24" s="100"/>
      <c r="S24" s="100"/>
      <c r="T24" s="101"/>
      <c r="U24" s="100"/>
      <c r="V24" s="100"/>
      <c r="W24" s="102"/>
    </row>
    <row r="25" spans="1:25" x14ac:dyDescent="0.15">
      <c r="A25" s="169" t="s">
        <v>112</v>
      </c>
      <c r="B25" s="119"/>
      <c r="C25" s="119"/>
      <c r="D25" s="120"/>
      <c r="E25" s="119"/>
      <c r="F25" s="119"/>
      <c r="G25" s="121"/>
      <c r="H25" s="119"/>
      <c r="I25" s="119"/>
      <c r="J25" s="119"/>
      <c r="K25" s="119"/>
      <c r="L25" s="120"/>
      <c r="M25" s="119"/>
      <c r="N25" s="119"/>
      <c r="O25" s="121"/>
      <c r="P25" s="119"/>
      <c r="Q25" s="119"/>
      <c r="R25" s="139"/>
      <c r="S25" s="119"/>
      <c r="T25" s="120"/>
      <c r="U25" s="119"/>
      <c r="V25" s="139"/>
      <c r="W25" s="121"/>
    </row>
    <row r="26" spans="1:25" x14ac:dyDescent="0.15">
      <c r="A26" s="101"/>
      <c r="B26" s="100" t="s">
        <v>30</v>
      </c>
      <c r="C26" s="100"/>
      <c r="D26" s="101"/>
      <c r="E26" s="100"/>
      <c r="F26" s="110">
        <f>IF(ROUND(0.8*(F33),2)&lt;E37,ROUND(0.8*(F33),2),E37)</f>
        <v>29016</v>
      </c>
      <c r="G26" s="112">
        <f>IF(ROUND(0.8*(G33),2)&lt;F37,ROUND(0.8*(G33),2),F37)</f>
        <v>29016</v>
      </c>
      <c r="H26" s="110">
        <f t="shared" ref="H26:W26" si="6">IF(ROUND(0.8*(H33),2)&lt;G37,ROUND(0.8*(H33),2),G37)</f>
        <v>29016</v>
      </c>
      <c r="I26" s="110">
        <f t="shared" si="6"/>
        <v>29016</v>
      </c>
      <c r="J26" s="110">
        <f t="shared" si="6"/>
        <v>29016</v>
      </c>
      <c r="K26" s="110">
        <f t="shared" si="6"/>
        <v>29016</v>
      </c>
      <c r="L26" s="111">
        <f t="shared" si="6"/>
        <v>29016</v>
      </c>
      <c r="M26" s="110">
        <f t="shared" si="6"/>
        <v>29016</v>
      </c>
      <c r="N26" s="110">
        <f t="shared" si="6"/>
        <v>29016</v>
      </c>
      <c r="O26" s="112">
        <f t="shared" si="6"/>
        <v>29016</v>
      </c>
      <c r="P26" s="110">
        <f t="shared" si="6"/>
        <v>29016</v>
      </c>
      <c r="Q26" s="110">
        <f t="shared" si="6"/>
        <v>29016</v>
      </c>
      <c r="R26" s="140">
        <f t="shared" si="6"/>
        <v>11808</v>
      </c>
      <c r="S26" s="110">
        <f t="shared" si="6"/>
        <v>0</v>
      </c>
      <c r="T26" s="111">
        <f t="shared" si="6"/>
        <v>0</v>
      </c>
      <c r="U26" s="110">
        <f t="shared" si="6"/>
        <v>0</v>
      </c>
      <c r="V26" s="166">
        <f t="shared" si="6"/>
        <v>0</v>
      </c>
      <c r="W26" s="168">
        <f t="shared" si="6"/>
        <v>0</v>
      </c>
    </row>
    <row r="27" spans="1:25" x14ac:dyDescent="0.15">
      <c r="A27" s="101"/>
      <c r="B27" s="100" t="s">
        <v>113</v>
      </c>
      <c r="C27" s="100"/>
      <c r="D27" s="101"/>
      <c r="E27" s="100"/>
      <c r="F27" s="110">
        <f>IF(ROUND(0.2*(F33),2)&lt;E38,ROUND(0.2*(F33),2),E38)</f>
        <v>7254</v>
      </c>
      <c r="G27" s="112">
        <f>IF(ROUND(0.2*(G33),2)&lt;F38,ROUND(0.2*(G33),2),F38)</f>
        <v>7254</v>
      </c>
      <c r="H27" s="110">
        <f t="shared" ref="H27:W27" si="7">IF(ROUND(0.2*(H33),2)&lt;G38,ROUND(0.2*(H33),2),G38)</f>
        <v>7254</v>
      </c>
      <c r="I27" s="110">
        <f t="shared" si="7"/>
        <v>7254</v>
      </c>
      <c r="J27" s="110">
        <f t="shared" si="7"/>
        <v>7254</v>
      </c>
      <c r="K27" s="110">
        <f t="shared" si="7"/>
        <v>7254</v>
      </c>
      <c r="L27" s="111">
        <f t="shared" si="7"/>
        <v>7254</v>
      </c>
      <c r="M27" s="110">
        <f t="shared" si="7"/>
        <v>7254</v>
      </c>
      <c r="N27" s="110">
        <f t="shared" si="7"/>
        <v>7254</v>
      </c>
      <c r="O27" s="112">
        <f t="shared" si="7"/>
        <v>7254</v>
      </c>
      <c r="P27" s="110">
        <f t="shared" si="7"/>
        <v>7254</v>
      </c>
      <c r="Q27" s="110">
        <f t="shared" si="7"/>
        <v>7254</v>
      </c>
      <c r="R27" s="140">
        <f t="shared" si="7"/>
        <v>2952</v>
      </c>
      <c r="S27" s="110">
        <f t="shared" si="7"/>
        <v>0</v>
      </c>
      <c r="T27" s="111">
        <f t="shared" si="7"/>
        <v>0</v>
      </c>
      <c r="U27" s="110">
        <f t="shared" si="7"/>
        <v>0</v>
      </c>
      <c r="V27" s="140">
        <f t="shared" si="7"/>
        <v>0</v>
      </c>
      <c r="W27" s="112">
        <f t="shared" si="7"/>
        <v>0</v>
      </c>
    </row>
    <row r="28" spans="1:25" x14ac:dyDescent="0.15">
      <c r="A28" s="101"/>
      <c r="B28" s="100" t="s">
        <v>80</v>
      </c>
      <c r="C28" s="100"/>
      <c r="D28" s="101"/>
      <c r="E28" s="100"/>
      <c r="F28" s="110"/>
      <c r="G28" s="112"/>
      <c r="H28" s="110"/>
      <c r="I28" s="110"/>
      <c r="J28" s="110"/>
      <c r="K28" s="110"/>
      <c r="L28" s="111"/>
      <c r="M28" s="110"/>
      <c r="N28" s="110"/>
      <c r="O28" s="112"/>
      <c r="P28" s="110"/>
      <c r="Q28" s="110"/>
      <c r="R28" s="140"/>
      <c r="S28" s="110"/>
      <c r="T28" s="111"/>
      <c r="U28" s="110"/>
      <c r="V28" s="140"/>
      <c r="W28" s="112"/>
    </row>
    <row r="29" spans="1:25" x14ac:dyDescent="0.15">
      <c r="A29" s="101"/>
      <c r="B29" s="100" t="s">
        <v>38</v>
      </c>
      <c r="C29" s="100"/>
      <c r="D29" s="101"/>
      <c r="E29" s="100"/>
      <c r="F29" s="110">
        <f>F30*F33</f>
        <v>362.7</v>
      </c>
      <c r="G29" s="112">
        <f>G30*G33</f>
        <v>362.7</v>
      </c>
      <c r="H29" s="110">
        <f>H30*H33</f>
        <v>1088.0999999999999</v>
      </c>
      <c r="I29" s="110">
        <f>I30*I33</f>
        <v>3627</v>
      </c>
      <c r="J29" s="110">
        <f t="shared" ref="J29:W29" si="8">J30*J33</f>
        <v>3627</v>
      </c>
      <c r="K29" s="110">
        <f t="shared" si="8"/>
        <v>4352.3999999999996</v>
      </c>
      <c r="L29" s="111">
        <f t="shared" si="8"/>
        <v>1088.0999999999999</v>
      </c>
      <c r="M29" s="110">
        <f t="shared" si="8"/>
        <v>3627</v>
      </c>
      <c r="N29" s="110">
        <f t="shared" si="8"/>
        <v>3627</v>
      </c>
      <c r="O29" s="112">
        <f t="shared" si="8"/>
        <v>4352.3999999999996</v>
      </c>
      <c r="P29" s="110">
        <f t="shared" si="8"/>
        <v>1088.0999999999999</v>
      </c>
      <c r="Q29" s="110">
        <f t="shared" si="8"/>
        <v>3627</v>
      </c>
      <c r="R29" s="140">
        <f t="shared" si="8"/>
        <v>3627</v>
      </c>
      <c r="S29" s="110">
        <f t="shared" si="8"/>
        <v>4352.3999999999996</v>
      </c>
      <c r="T29" s="111">
        <f t="shared" si="8"/>
        <v>1088.0999999999999</v>
      </c>
      <c r="U29" s="110">
        <f t="shared" si="8"/>
        <v>3627</v>
      </c>
      <c r="V29" s="140">
        <f t="shared" si="8"/>
        <v>3627</v>
      </c>
      <c r="W29" s="112">
        <f t="shared" si="8"/>
        <v>4352.3999999999996</v>
      </c>
    </row>
    <row r="30" spans="1:25" x14ac:dyDescent="0.15">
      <c r="A30" s="101"/>
      <c r="B30" s="100"/>
      <c r="C30" s="100" t="s">
        <v>51</v>
      </c>
      <c r="D30" s="101"/>
      <c r="E30" s="100"/>
      <c r="F30" s="108">
        <v>0.01</v>
      </c>
      <c r="G30" s="109">
        <v>0.01</v>
      </c>
      <c r="H30" s="108">
        <v>0.03</v>
      </c>
      <c r="I30" s="108">
        <v>0.1</v>
      </c>
      <c r="J30" s="108">
        <v>0.1</v>
      </c>
      <c r="K30" s="108">
        <v>0.12</v>
      </c>
      <c r="L30" s="107">
        <v>0.03</v>
      </c>
      <c r="M30" s="108">
        <v>0.1</v>
      </c>
      <c r="N30" s="108">
        <v>0.1</v>
      </c>
      <c r="O30" s="109">
        <v>0.12</v>
      </c>
      <c r="P30" s="108">
        <v>0.03</v>
      </c>
      <c r="Q30" s="108">
        <v>0.1</v>
      </c>
      <c r="R30" s="141">
        <v>0.1</v>
      </c>
      <c r="S30" s="108">
        <v>0.12</v>
      </c>
      <c r="T30" s="107">
        <v>0.03</v>
      </c>
      <c r="U30" s="108">
        <v>0.1</v>
      </c>
      <c r="V30" s="141">
        <v>0.1</v>
      </c>
      <c r="W30" s="109">
        <v>0.12</v>
      </c>
    </row>
    <row r="31" spans="1:25" x14ac:dyDescent="0.15">
      <c r="A31" s="101"/>
      <c r="B31" s="100" t="s">
        <v>109</v>
      </c>
      <c r="C31" s="100"/>
      <c r="D31" s="101"/>
      <c r="E31" s="100"/>
      <c r="F31" s="105">
        <f>SUM(F26:F29)</f>
        <v>36632.699999999997</v>
      </c>
      <c r="G31" s="106">
        <f t="shared" ref="G31:W31" si="9">SUM(G26:G29)</f>
        <v>36632.699999999997</v>
      </c>
      <c r="H31" s="105">
        <f t="shared" si="9"/>
        <v>37358.1</v>
      </c>
      <c r="I31" s="105">
        <f t="shared" si="9"/>
        <v>39897</v>
      </c>
      <c r="J31" s="105">
        <f t="shared" si="9"/>
        <v>39897</v>
      </c>
      <c r="K31" s="105">
        <f t="shared" si="9"/>
        <v>40622.400000000001</v>
      </c>
      <c r="L31" s="104">
        <f t="shared" si="9"/>
        <v>37358.1</v>
      </c>
      <c r="M31" s="105">
        <f t="shared" si="9"/>
        <v>39897</v>
      </c>
      <c r="N31" s="105">
        <f t="shared" si="9"/>
        <v>39897</v>
      </c>
      <c r="O31" s="106">
        <f t="shared" si="9"/>
        <v>40622.400000000001</v>
      </c>
      <c r="P31" s="105">
        <f t="shared" si="9"/>
        <v>37358.1</v>
      </c>
      <c r="Q31" s="105">
        <f t="shared" si="9"/>
        <v>39897</v>
      </c>
      <c r="R31" s="142">
        <f t="shared" si="9"/>
        <v>18387</v>
      </c>
      <c r="S31" s="105">
        <f t="shared" si="9"/>
        <v>4352.3999999999996</v>
      </c>
      <c r="T31" s="104">
        <f t="shared" si="9"/>
        <v>1088.0999999999999</v>
      </c>
      <c r="U31" s="105">
        <f t="shared" si="9"/>
        <v>3627</v>
      </c>
      <c r="V31" s="142">
        <f t="shared" si="9"/>
        <v>3627</v>
      </c>
      <c r="W31" s="106">
        <f t="shared" si="9"/>
        <v>4352.3999999999996</v>
      </c>
    </row>
    <row r="32" spans="1:25" x14ac:dyDescent="0.15">
      <c r="A32" s="101"/>
      <c r="B32" s="100"/>
      <c r="C32" s="100"/>
      <c r="D32" s="101"/>
      <c r="E32" s="100"/>
      <c r="F32" s="105"/>
      <c r="G32" s="106" t="s">
        <v>123</v>
      </c>
      <c r="H32" s="105"/>
      <c r="I32" s="105"/>
      <c r="J32" s="100"/>
      <c r="K32" s="100"/>
      <c r="L32" s="101"/>
      <c r="M32" s="100"/>
      <c r="N32" s="100"/>
      <c r="O32" s="102"/>
      <c r="P32" s="100"/>
      <c r="Q32" s="100"/>
      <c r="R32" s="143"/>
      <c r="S32" s="100"/>
      <c r="T32" s="101"/>
      <c r="U32" s="100"/>
      <c r="V32" s="143"/>
      <c r="W32" s="102"/>
    </row>
    <row r="33" spans="1:25" x14ac:dyDescent="0.15">
      <c r="A33" s="101"/>
      <c r="B33" s="100" t="s">
        <v>33</v>
      </c>
      <c r="C33" s="100"/>
      <c r="D33" s="101"/>
      <c r="E33" s="100"/>
      <c r="F33" s="110">
        <f t="shared" ref="F33:W33" si="10">2790*52/4</f>
        <v>36270</v>
      </c>
      <c r="G33" s="112">
        <f t="shared" si="10"/>
        <v>36270</v>
      </c>
      <c r="H33" s="110">
        <f t="shared" si="10"/>
        <v>36270</v>
      </c>
      <c r="I33" s="110">
        <f t="shared" si="10"/>
        <v>36270</v>
      </c>
      <c r="J33" s="110">
        <f t="shared" si="10"/>
        <v>36270</v>
      </c>
      <c r="K33" s="110">
        <f t="shared" si="10"/>
        <v>36270</v>
      </c>
      <c r="L33" s="111">
        <f t="shared" si="10"/>
        <v>36270</v>
      </c>
      <c r="M33" s="110">
        <f t="shared" si="10"/>
        <v>36270</v>
      </c>
      <c r="N33" s="110">
        <f t="shared" si="10"/>
        <v>36270</v>
      </c>
      <c r="O33" s="112">
        <f t="shared" si="10"/>
        <v>36270</v>
      </c>
      <c r="P33" s="110">
        <f t="shared" si="10"/>
        <v>36270</v>
      </c>
      <c r="Q33" s="110">
        <f t="shared" si="10"/>
        <v>36270</v>
      </c>
      <c r="R33" s="110">
        <f t="shared" si="10"/>
        <v>36270</v>
      </c>
      <c r="S33" s="110">
        <f t="shared" si="10"/>
        <v>36270</v>
      </c>
      <c r="T33" s="111">
        <f t="shared" si="10"/>
        <v>36270</v>
      </c>
      <c r="U33" s="110">
        <f t="shared" si="10"/>
        <v>36270</v>
      </c>
      <c r="V33" s="110">
        <f t="shared" si="10"/>
        <v>36270</v>
      </c>
      <c r="W33" s="112">
        <f t="shared" si="10"/>
        <v>36270</v>
      </c>
      <c r="X33" s="162">
        <v>46.5</v>
      </c>
      <c r="Y33" s="103" t="s">
        <v>119</v>
      </c>
    </row>
    <row r="34" spans="1:25" x14ac:dyDescent="0.15">
      <c r="A34" s="101"/>
      <c r="B34" s="100" t="s">
        <v>128</v>
      </c>
      <c r="C34" s="100"/>
      <c r="D34" s="104"/>
      <c r="E34" s="105"/>
      <c r="F34" s="105">
        <v>0</v>
      </c>
      <c r="G34" s="106">
        <v>0</v>
      </c>
      <c r="H34" s="105">
        <v>0</v>
      </c>
      <c r="I34" s="105">
        <v>0</v>
      </c>
      <c r="J34" s="105">
        <v>0</v>
      </c>
      <c r="K34" s="105">
        <v>0</v>
      </c>
      <c r="L34" s="104">
        <v>0</v>
      </c>
      <c r="M34" s="105">
        <v>0</v>
      </c>
      <c r="N34" s="105">
        <v>0</v>
      </c>
      <c r="O34" s="106">
        <v>0</v>
      </c>
      <c r="P34" s="105">
        <v>0</v>
      </c>
      <c r="Q34" s="105">
        <v>0</v>
      </c>
      <c r="R34" s="142">
        <v>0</v>
      </c>
      <c r="S34" s="105">
        <v>0</v>
      </c>
      <c r="T34" s="104">
        <v>0</v>
      </c>
      <c r="U34" s="105">
        <v>0</v>
      </c>
      <c r="V34" s="142">
        <v>0</v>
      </c>
      <c r="W34" s="106">
        <v>0</v>
      </c>
    </row>
    <row r="35" spans="1:25" x14ac:dyDescent="0.15">
      <c r="A35" s="101"/>
      <c r="B35" s="100" t="s">
        <v>109</v>
      </c>
      <c r="C35" s="100"/>
      <c r="D35" s="104"/>
      <c r="E35" s="105"/>
      <c r="F35" s="105">
        <f>SUM(F33:F34)</f>
        <v>36270</v>
      </c>
      <c r="G35" s="106">
        <f t="shared" ref="G35:W35" si="11">SUM(G33:G34)</f>
        <v>36270</v>
      </c>
      <c r="H35" s="105">
        <f t="shared" si="11"/>
        <v>36270</v>
      </c>
      <c r="I35" s="105">
        <f t="shared" si="11"/>
        <v>36270</v>
      </c>
      <c r="J35" s="105">
        <f t="shared" si="11"/>
        <v>36270</v>
      </c>
      <c r="K35" s="105">
        <f t="shared" si="11"/>
        <v>36270</v>
      </c>
      <c r="L35" s="104">
        <f t="shared" si="11"/>
        <v>36270</v>
      </c>
      <c r="M35" s="105">
        <f t="shared" si="11"/>
        <v>36270</v>
      </c>
      <c r="N35" s="105">
        <f t="shared" si="11"/>
        <v>36270</v>
      </c>
      <c r="O35" s="106">
        <f t="shared" si="11"/>
        <v>36270</v>
      </c>
      <c r="P35" s="105">
        <f t="shared" si="11"/>
        <v>36270</v>
      </c>
      <c r="Q35" s="105">
        <f t="shared" si="11"/>
        <v>36270</v>
      </c>
      <c r="R35" s="142">
        <f t="shared" si="11"/>
        <v>36270</v>
      </c>
      <c r="S35" s="105">
        <f t="shared" si="11"/>
        <v>36270</v>
      </c>
      <c r="T35" s="104">
        <f t="shared" si="11"/>
        <v>36270</v>
      </c>
      <c r="U35" s="105">
        <f t="shared" si="11"/>
        <v>36270</v>
      </c>
      <c r="V35" s="142">
        <f t="shared" si="11"/>
        <v>36270</v>
      </c>
      <c r="W35" s="106">
        <f t="shared" si="11"/>
        <v>36270</v>
      </c>
    </row>
    <row r="36" spans="1:25" x14ac:dyDescent="0.15">
      <c r="A36" s="101"/>
      <c r="B36" s="100"/>
      <c r="C36" s="100"/>
      <c r="D36" s="104"/>
      <c r="E36" s="105"/>
      <c r="F36" s="105"/>
      <c r="G36" s="106"/>
      <c r="H36" s="100"/>
      <c r="I36" s="100"/>
      <c r="J36" s="100"/>
      <c r="K36" s="100"/>
      <c r="L36" s="101"/>
      <c r="M36" s="100"/>
      <c r="N36" s="100"/>
      <c r="O36" s="102"/>
      <c r="P36" s="100"/>
      <c r="Q36" s="100"/>
      <c r="R36" s="143"/>
      <c r="S36" s="100"/>
      <c r="T36" s="101"/>
      <c r="U36" s="100"/>
      <c r="V36" s="143"/>
      <c r="W36" s="102"/>
    </row>
    <row r="37" spans="1:25" x14ac:dyDescent="0.15">
      <c r="A37" s="101" t="s">
        <v>52</v>
      </c>
      <c r="B37" s="100"/>
      <c r="C37" s="100"/>
      <c r="D37" s="104"/>
      <c r="E37" s="105">
        <f>360000</f>
        <v>360000</v>
      </c>
      <c r="F37" s="105">
        <f t="shared" ref="F37:W38" si="12">E37-F26</f>
        <v>330984</v>
      </c>
      <c r="G37" s="106">
        <f t="shared" si="12"/>
        <v>301968</v>
      </c>
      <c r="H37" s="105">
        <f t="shared" si="12"/>
        <v>272952</v>
      </c>
      <c r="I37" s="105">
        <f t="shared" si="12"/>
        <v>243936</v>
      </c>
      <c r="J37" s="105">
        <f t="shared" si="12"/>
        <v>214920</v>
      </c>
      <c r="K37" s="105">
        <f t="shared" si="12"/>
        <v>185904</v>
      </c>
      <c r="L37" s="104">
        <f t="shared" si="12"/>
        <v>156888</v>
      </c>
      <c r="M37" s="105">
        <f t="shared" si="12"/>
        <v>127872</v>
      </c>
      <c r="N37" s="105">
        <f t="shared" si="12"/>
        <v>98856</v>
      </c>
      <c r="O37" s="106">
        <f t="shared" si="12"/>
        <v>69840</v>
      </c>
      <c r="P37" s="105">
        <f t="shared" si="12"/>
        <v>40824</v>
      </c>
      <c r="Q37" s="105">
        <f t="shared" si="12"/>
        <v>11808</v>
      </c>
      <c r="R37" s="142">
        <f t="shared" si="12"/>
        <v>0</v>
      </c>
      <c r="S37" s="105">
        <f t="shared" si="12"/>
        <v>0</v>
      </c>
      <c r="T37" s="104">
        <f t="shared" si="12"/>
        <v>0</v>
      </c>
      <c r="U37" s="105">
        <f t="shared" si="12"/>
        <v>0</v>
      </c>
      <c r="V37" s="142">
        <f t="shared" si="12"/>
        <v>0</v>
      </c>
      <c r="W37" s="106">
        <f t="shared" si="12"/>
        <v>0</v>
      </c>
    </row>
    <row r="38" spans="1:25" x14ac:dyDescent="0.15">
      <c r="A38" s="101" t="s">
        <v>116</v>
      </c>
      <c r="B38" s="100"/>
      <c r="C38" s="100"/>
      <c r="D38" s="101"/>
      <c r="E38" s="110">
        <f>90000</f>
        <v>90000</v>
      </c>
      <c r="F38" s="105">
        <f t="shared" si="12"/>
        <v>82746</v>
      </c>
      <c r="G38" s="106">
        <f t="shared" si="12"/>
        <v>75492</v>
      </c>
      <c r="H38" s="105">
        <f t="shared" si="12"/>
        <v>68238</v>
      </c>
      <c r="I38" s="105">
        <f t="shared" si="12"/>
        <v>60984</v>
      </c>
      <c r="J38" s="105">
        <f t="shared" si="12"/>
        <v>53730</v>
      </c>
      <c r="K38" s="105">
        <f t="shared" si="12"/>
        <v>46476</v>
      </c>
      <c r="L38" s="104">
        <f t="shared" si="12"/>
        <v>39222</v>
      </c>
      <c r="M38" s="105">
        <f t="shared" si="12"/>
        <v>31968</v>
      </c>
      <c r="N38" s="105">
        <f t="shared" si="12"/>
        <v>24714</v>
      </c>
      <c r="O38" s="106">
        <f t="shared" si="12"/>
        <v>17460</v>
      </c>
      <c r="P38" s="105">
        <f t="shared" si="12"/>
        <v>10206</v>
      </c>
      <c r="Q38" s="105">
        <f t="shared" si="12"/>
        <v>2952</v>
      </c>
      <c r="R38" s="142">
        <f t="shared" si="12"/>
        <v>0</v>
      </c>
      <c r="S38" s="105">
        <f t="shared" si="12"/>
        <v>0</v>
      </c>
      <c r="T38" s="104">
        <f t="shared" si="12"/>
        <v>0</v>
      </c>
      <c r="U38" s="105">
        <f t="shared" si="12"/>
        <v>0</v>
      </c>
      <c r="V38" s="142">
        <f t="shared" si="12"/>
        <v>0</v>
      </c>
      <c r="W38" s="106">
        <f t="shared" si="12"/>
        <v>0</v>
      </c>
    </row>
    <row r="39" spans="1:25" x14ac:dyDescent="0.15">
      <c r="A39" s="113" t="s">
        <v>121</v>
      </c>
      <c r="B39" s="114"/>
      <c r="C39" s="114"/>
      <c r="D39" s="113"/>
      <c r="E39" s="115"/>
      <c r="F39" s="115">
        <f>ROUND(F31-F35+E39,0)</f>
        <v>363</v>
      </c>
      <c r="G39" s="116">
        <f>ROUND(G31-G35+F39,0)</f>
        <v>726</v>
      </c>
      <c r="H39" s="115">
        <f t="shared" ref="H39:W39" si="13">H31-H35+G39</f>
        <v>1814.0999999999985</v>
      </c>
      <c r="I39" s="115">
        <f t="shared" si="13"/>
        <v>5441.0999999999985</v>
      </c>
      <c r="J39" s="115">
        <f t="shared" si="13"/>
        <v>9068.0999999999985</v>
      </c>
      <c r="K39" s="115">
        <f t="shared" si="13"/>
        <v>13420.5</v>
      </c>
      <c r="L39" s="117">
        <f t="shared" si="13"/>
        <v>14508.599999999999</v>
      </c>
      <c r="M39" s="115">
        <f t="shared" si="13"/>
        <v>18135.599999999999</v>
      </c>
      <c r="N39" s="115">
        <f t="shared" si="13"/>
        <v>21762.6</v>
      </c>
      <c r="O39" s="116">
        <f t="shared" si="13"/>
        <v>26115</v>
      </c>
      <c r="P39" s="115">
        <f t="shared" si="13"/>
        <v>27203.1</v>
      </c>
      <c r="Q39" s="115">
        <f t="shared" si="13"/>
        <v>30830.1</v>
      </c>
      <c r="R39" s="144">
        <f t="shared" si="13"/>
        <v>12947.099999999999</v>
      </c>
      <c r="S39" s="115">
        <f t="shared" si="13"/>
        <v>-18970.5</v>
      </c>
      <c r="T39" s="117">
        <f t="shared" si="13"/>
        <v>-54152.4</v>
      </c>
      <c r="U39" s="115">
        <f t="shared" si="13"/>
        <v>-86795.4</v>
      </c>
      <c r="V39" s="144">
        <f t="shared" si="13"/>
        <v>-119438.39999999999</v>
      </c>
      <c r="W39" s="116">
        <f t="shared" si="13"/>
        <v>-151356</v>
      </c>
    </row>
    <row r="40" spans="1:25" x14ac:dyDescent="0.15">
      <c r="A40" s="131"/>
      <c r="B40" s="130"/>
      <c r="C40" s="130"/>
      <c r="D40" s="131"/>
      <c r="E40" s="130"/>
      <c r="F40" s="130"/>
      <c r="G40" s="132"/>
      <c r="H40" s="130"/>
      <c r="I40" s="130"/>
      <c r="J40" s="130"/>
      <c r="K40" s="130"/>
      <c r="L40" s="131"/>
      <c r="M40" s="130"/>
      <c r="N40" s="130"/>
      <c r="O40" s="132"/>
      <c r="P40" s="130"/>
      <c r="Q40" s="130"/>
      <c r="R40" s="145"/>
      <c r="S40" s="130"/>
      <c r="T40" s="131"/>
      <c r="U40" s="130"/>
      <c r="V40" s="145"/>
      <c r="W40" s="132"/>
    </row>
    <row r="41" spans="1:25" x14ac:dyDescent="0.15">
      <c r="A41" s="99" t="s">
        <v>117</v>
      </c>
      <c r="B41" s="100"/>
      <c r="C41" s="100"/>
      <c r="D41" s="101"/>
      <c r="E41" s="100"/>
      <c r="F41" s="100"/>
      <c r="G41" s="102"/>
      <c r="H41" s="100"/>
      <c r="I41" s="100"/>
      <c r="J41" s="100"/>
      <c r="K41" s="100"/>
      <c r="L41" s="101"/>
      <c r="M41" s="100"/>
      <c r="N41" s="100"/>
      <c r="O41" s="102"/>
      <c r="P41" s="100"/>
      <c r="Q41" s="100"/>
      <c r="R41" s="143"/>
      <c r="S41" s="100"/>
      <c r="T41" s="101"/>
      <c r="U41" s="100"/>
      <c r="V41" s="143"/>
      <c r="W41" s="102"/>
    </row>
    <row r="42" spans="1:25" x14ac:dyDescent="0.15">
      <c r="A42" s="101"/>
      <c r="B42" s="100" t="s">
        <v>30</v>
      </c>
      <c r="C42" s="100"/>
      <c r="D42" s="101"/>
      <c r="E42" s="100"/>
      <c r="F42" s="110">
        <f>IF(ROUND(0.8*(F49),2)&lt;E54,ROUND(0.8*(F49),2),E54)</f>
        <v>34499.4</v>
      </c>
      <c r="G42" s="112">
        <f>IF(ROUND(0.8*(G49),2)&lt;F54,ROUND(0.8*(G49),2),F54)</f>
        <v>46375.199999999997</v>
      </c>
      <c r="H42" s="110">
        <f>IF(ROUND(0.8*(H49),2)&lt;G54,ROUND(0.8*(H49),2),G54)</f>
        <v>46375.199999999997</v>
      </c>
      <c r="I42" s="110">
        <f t="shared" ref="I42:W42" si="14">IF(ROUND(0.8*(I49),2)&lt;H54,ROUND(0.8*(I49),2),H54)</f>
        <v>46375.199999999997</v>
      </c>
      <c r="J42" s="110">
        <f t="shared" si="14"/>
        <v>46375.199999999997</v>
      </c>
      <c r="K42" s="110">
        <f t="shared" si="14"/>
        <v>46375.199999999997</v>
      </c>
      <c r="L42" s="111">
        <f t="shared" si="14"/>
        <v>46375.199999999997</v>
      </c>
      <c r="M42" s="110">
        <f t="shared" si="14"/>
        <v>46375.199999999997</v>
      </c>
      <c r="N42" s="110">
        <f t="shared" si="14"/>
        <v>46375.199999999997</v>
      </c>
      <c r="O42" s="112">
        <f t="shared" si="14"/>
        <v>46375.199999999997</v>
      </c>
      <c r="P42" s="110">
        <f t="shared" si="14"/>
        <v>46375.199999999997</v>
      </c>
      <c r="Q42" s="110">
        <f t="shared" si="14"/>
        <v>46375.199999999997</v>
      </c>
      <c r="R42" s="140">
        <f t="shared" si="14"/>
        <v>46375.199999999997</v>
      </c>
      <c r="S42" s="110">
        <f t="shared" si="14"/>
        <v>46375.199999999997</v>
      </c>
      <c r="T42" s="111">
        <f t="shared" si="14"/>
        <v>46375.199999999997</v>
      </c>
      <c r="U42" s="110">
        <f t="shared" si="14"/>
        <v>36247.800000000032</v>
      </c>
      <c r="V42" s="166">
        <f t="shared" si="14"/>
        <v>0</v>
      </c>
      <c r="W42" s="168">
        <f t="shared" si="14"/>
        <v>0</v>
      </c>
    </row>
    <row r="43" spans="1:25" x14ac:dyDescent="0.15">
      <c r="A43" s="101"/>
      <c r="B43" s="100" t="s">
        <v>120</v>
      </c>
      <c r="C43" s="100"/>
      <c r="D43" s="101"/>
      <c r="E43" s="100"/>
      <c r="F43" s="110">
        <f>IF(ROUND(0.2*(F49),2)&lt;E55,ROUND(0.2*(F49),2),E55)</f>
        <v>8624.85</v>
      </c>
      <c r="G43" s="112">
        <f>IF(ROUND(0.2*(G49),2)&lt;F55,ROUND(0.2*(G49),2),F55)</f>
        <v>11593.8</v>
      </c>
      <c r="H43" s="110">
        <f>IF(ROUND(0.2*(H49),2)&lt;G55,ROUND(0.2*(H49),2),G55)</f>
        <v>11593.8</v>
      </c>
      <c r="I43" s="110">
        <f t="shared" ref="I43:W43" si="15">IF(ROUND(0.2*(I49),2)&lt;H55,ROUND(0.2*(I49),2),H55)</f>
        <v>11593.8</v>
      </c>
      <c r="J43" s="110">
        <f t="shared" si="15"/>
        <v>11593.8</v>
      </c>
      <c r="K43" s="110">
        <f t="shared" si="15"/>
        <v>11593.8</v>
      </c>
      <c r="L43" s="111">
        <f t="shared" si="15"/>
        <v>11593.8</v>
      </c>
      <c r="M43" s="110">
        <f t="shared" si="15"/>
        <v>11593.8</v>
      </c>
      <c r="N43" s="110">
        <f t="shared" si="15"/>
        <v>11593.8</v>
      </c>
      <c r="O43" s="112">
        <f t="shared" si="15"/>
        <v>11593.8</v>
      </c>
      <c r="P43" s="110">
        <f t="shared" si="15"/>
        <v>11593.8</v>
      </c>
      <c r="Q43" s="110">
        <f t="shared" si="15"/>
        <v>11593.8</v>
      </c>
      <c r="R43" s="140">
        <f t="shared" si="15"/>
        <v>11593.8</v>
      </c>
      <c r="S43" s="110">
        <f t="shared" si="15"/>
        <v>11593.8</v>
      </c>
      <c r="T43" s="111">
        <f t="shared" si="15"/>
        <v>11593.8</v>
      </c>
      <c r="U43" s="110">
        <f t="shared" si="15"/>
        <v>9061.950000000008</v>
      </c>
      <c r="V43" s="140">
        <f t="shared" si="15"/>
        <v>0</v>
      </c>
      <c r="W43" s="112">
        <f t="shared" si="15"/>
        <v>0</v>
      </c>
    </row>
    <row r="44" spans="1:25" x14ac:dyDescent="0.15">
      <c r="A44" s="101"/>
      <c r="B44" s="100" t="s">
        <v>80</v>
      </c>
      <c r="C44" s="100"/>
      <c r="D44" s="101"/>
      <c r="E44" s="100"/>
      <c r="F44" s="110"/>
      <c r="G44" s="112"/>
      <c r="H44" s="110"/>
      <c r="I44" s="110"/>
      <c r="J44" s="110"/>
      <c r="K44" s="110"/>
      <c r="L44" s="111"/>
      <c r="M44" s="110"/>
      <c r="N44" s="110"/>
      <c r="O44" s="112"/>
      <c r="P44" s="110"/>
      <c r="Q44" s="110"/>
      <c r="R44" s="140"/>
      <c r="S44" s="110"/>
      <c r="T44" s="111"/>
      <c r="U44" s="110"/>
      <c r="V44" s="140"/>
      <c r="W44" s="112"/>
    </row>
    <row r="45" spans="1:25" x14ac:dyDescent="0.15">
      <c r="A45" s="101"/>
      <c r="B45" s="100" t="s">
        <v>38</v>
      </c>
      <c r="C45" s="100"/>
      <c r="D45" s="101"/>
      <c r="E45" s="100"/>
      <c r="F45" s="110">
        <f>F46*F49</f>
        <v>0</v>
      </c>
      <c r="G45" s="112">
        <f>G46*G49</f>
        <v>579.69000000000005</v>
      </c>
      <c r="H45" s="110">
        <f>H46*H49</f>
        <v>2028.9150000000002</v>
      </c>
      <c r="I45" s="110">
        <f>I46*I49</f>
        <v>6956.28</v>
      </c>
      <c r="J45" s="110">
        <f t="shared" ref="J45:W45" si="16">J46*J49</f>
        <v>8115.6600000000008</v>
      </c>
      <c r="K45" s="110">
        <f t="shared" si="16"/>
        <v>9854.7300000000014</v>
      </c>
      <c r="L45" s="111">
        <f t="shared" si="16"/>
        <v>2028.9150000000002</v>
      </c>
      <c r="M45" s="110">
        <f t="shared" si="16"/>
        <v>6956.28</v>
      </c>
      <c r="N45" s="110">
        <f t="shared" si="16"/>
        <v>8115.6600000000008</v>
      </c>
      <c r="O45" s="112">
        <f t="shared" si="16"/>
        <v>9854.7300000000014</v>
      </c>
      <c r="P45" s="110">
        <f t="shared" si="16"/>
        <v>2028.9150000000002</v>
      </c>
      <c r="Q45" s="110">
        <f t="shared" si="16"/>
        <v>6956.28</v>
      </c>
      <c r="R45" s="140">
        <f t="shared" si="16"/>
        <v>8115.6600000000008</v>
      </c>
      <c r="S45" s="110">
        <f t="shared" si="16"/>
        <v>9854.7300000000014</v>
      </c>
      <c r="T45" s="111">
        <f t="shared" si="16"/>
        <v>2028.9150000000002</v>
      </c>
      <c r="U45" s="110">
        <f t="shared" si="16"/>
        <v>6956.28</v>
      </c>
      <c r="V45" s="140">
        <f t="shared" si="16"/>
        <v>8115.6600000000008</v>
      </c>
      <c r="W45" s="112">
        <f t="shared" si="16"/>
        <v>9854.7300000000014</v>
      </c>
    </row>
    <row r="46" spans="1:25" x14ac:dyDescent="0.15">
      <c r="A46" s="101"/>
      <c r="B46" s="100"/>
      <c r="C46" s="100" t="s">
        <v>51</v>
      </c>
      <c r="D46" s="101"/>
      <c r="E46" s="100"/>
      <c r="F46" s="108">
        <v>0</v>
      </c>
      <c r="G46" s="109">
        <v>0.01</v>
      </c>
      <c r="H46" s="108">
        <v>3.5000000000000003E-2</v>
      </c>
      <c r="I46" s="108">
        <v>0.12</v>
      </c>
      <c r="J46" s="108">
        <v>0.14000000000000001</v>
      </c>
      <c r="K46" s="108">
        <v>0.17</v>
      </c>
      <c r="L46" s="107">
        <v>3.5000000000000003E-2</v>
      </c>
      <c r="M46" s="108">
        <v>0.12</v>
      </c>
      <c r="N46" s="108">
        <v>0.14000000000000001</v>
      </c>
      <c r="O46" s="109">
        <v>0.17</v>
      </c>
      <c r="P46" s="108">
        <v>3.5000000000000003E-2</v>
      </c>
      <c r="Q46" s="108">
        <v>0.12</v>
      </c>
      <c r="R46" s="141">
        <v>0.14000000000000001</v>
      </c>
      <c r="S46" s="108">
        <v>0.17</v>
      </c>
      <c r="T46" s="107">
        <v>3.5000000000000003E-2</v>
      </c>
      <c r="U46" s="108">
        <v>0.12</v>
      </c>
      <c r="V46" s="141">
        <v>0.14000000000000001</v>
      </c>
      <c r="W46" s="109">
        <v>0.17</v>
      </c>
    </row>
    <row r="47" spans="1:25" x14ac:dyDescent="0.15">
      <c r="A47" s="101"/>
      <c r="B47" s="100" t="s">
        <v>109</v>
      </c>
      <c r="C47" s="100"/>
      <c r="D47" s="101"/>
      <c r="E47" s="100"/>
      <c r="F47" s="105">
        <f>SUM(F42:F45)</f>
        <v>43124.25</v>
      </c>
      <c r="G47" s="106">
        <f t="shared" ref="G47:W47" si="17">SUM(G42:G45)</f>
        <v>58548.69</v>
      </c>
      <c r="H47" s="105">
        <f t="shared" si="17"/>
        <v>59997.915000000001</v>
      </c>
      <c r="I47" s="105">
        <f t="shared" si="17"/>
        <v>64925.279999999999</v>
      </c>
      <c r="J47" s="105">
        <f t="shared" si="17"/>
        <v>66084.66</v>
      </c>
      <c r="K47" s="105">
        <f t="shared" si="17"/>
        <v>67823.73</v>
      </c>
      <c r="L47" s="104">
        <f t="shared" si="17"/>
        <v>59997.915000000001</v>
      </c>
      <c r="M47" s="105">
        <f t="shared" si="17"/>
        <v>64925.279999999999</v>
      </c>
      <c r="N47" s="105">
        <f t="shared" si="17"/>
        <v>66084.66</v>
      </c>
      <c r="O47" s="106">
        <f t="shared" si="17"/>
        <v>67823.73</v>
      </c>
      <c r="P47" s="105">
        <f t="shared" si="17"/>
        <v>59997.915000000001</v>
      </c>
      <c r="Q47" s="105">
        <f t="shared" si="17"/>
        <v>64925.279999999999</v>
      </c>
      <c r="R47" s="142">
        <f t="shared" si="17"/>
        <v>66084.66</v>
      </c>
      <c r="S47" s="105">
        <f t="shared" si="17"/>
        <v>67823.73</v>
      </c>
      <c r="T47" s="104">
        <f t="shared" si="17"/>
        <v>59997.915000000001</v>
      </c>
      <c r="U47" s="105">
        <f t="shared" si="17"/>
        <v>52266.030000000042</v>
      </c>
      <c r="V47" s="142">
        <f t="shared" si="17"/>
        <v>8115.6600000000008</v>
      </c>
      <c r="W47" s="106">
        <f t="shared" si="17"/>
        <v>9854.7300000000014</v>
      </c>
    </row>
    <row r="48" spans="1:25" x14ac:dyDescent="0.15">
      <c r="A48" s="101"/>
      <c r="B48" s="100"/>
      <c r="C48" s="100"/>
      <c r="D48" s="101"/>
      <c r="E48" s="100"/>
      <c r="F48" s="105"/>
      <c r="G48" s="106"/>
      <c r="H48" s="105"/>
      <c r="I48" s="105"/>
      <c r="J48" s="100"/>
      <c r="K48" s="100"/>
      <c r="L48" s="101"/>
      <c r="M48" s="100"/>
      <c r="N48" s="100"/>
      <c r="O48" s="102"/>
      <c r="P48" s="100"/>
      <c r="Q48" s="100"/>
      <c r="R48" s="143"/>
      <c r="S48" s="100"/>
      <c r="T48" s="101"/>
      <c r="U48" s="100"/>
      <c r="V48" s="143"/>
      <c r="W48" s="102"/>
    </row>
    <row r="49" spans="1:25" x14ac:dyDescent="0.15">
      <c r="A49" s="101"/>
      <c r="B49" s="100" t="s">
        <v>33</v>
      </c>
      <c r="C49" s="100"/>
      <c r="D49" s="101"/>
      <c r="E49" s="100"/>
      <c r="F49" s="110">
        <f>(13269/4)*52/4</f>
        <v>43124.25</v>
      </c>
      <c r="G49" s="112">
        <v>57969</v>
      </c>
      <c r="H49" s="110">
        <v>57969</v>
      </c>
      <c r="I49" s="110">
        <v>57969</v>
      </c>
      <c r="J49" s="110">
        <v>57969</v>
      </c>
      <c r="K49" s="112">
        <v>57969</v>
      </c>
      <c r="L49" s="110">
        <v>57969</v>
      </c>
      <c r="M49" s="110">
        <v>57969</v>
      </c>
      <c r="N49" s="110">
        <v>57969</v>
      </c>
      <c r="O49" s="112">
        <v>57969</v>
      </c>
      <c r="P49" s="110">
        <v>57969</v>
      </c>
      <c r="Q49" s="110">
        <v>57969</v>
      </c>
      <c r="R49" s="110">
        <v>57969</v>
      </c>
      <c r="S49" s="112">
        <v>57969</v>
      </c>
      <c r="T49" s="110">
        <v>57969</v>
      </c>
      <c r="U49" s="110">
        <v>57969</v>
      </c>
      <c r="V49" s="110">
        <v>57969</v>
      </c>
      <c r="W49" s="112">
        <v>57969</v>
      </c>
      <c r="X49" s="162">
        <v>54.9</v>
      </c>
      <c r="Y49" s="103" t="s">
        <v>119</v>
      </c>
    </row>
    <row r="50" spans="1:25" x14ac:dyDescent="0.15">
      <c r="A50" s="101"/>
      <c r="B50" s="100" t="s">
        <v>128</v>
      </c>
      <c r="C50" s="100"/>
      <c r="D50" s="104"/>
      <c r="E50" s="105"/>
      <c r="F50" s="105">
        <v>0</v>
      </c>
      <c r="G50" s="106">
        <v>0</v>
      </c>
      <c r="H50" s="105">
        <v>0</v>
      </c>
      <c r="I50" s="105">
        <v>0</v>
      </c>
      <c r="J50" s="105">
        <v>0</v>
      </c>
      <c r="K50" s="105">
        <v>0</v>
      </c>
      <c r="L50" s="104">
        <v>0</v>
      </c>
      <c r="M50" s="105">
        <v>0</v>
      </c>
      <c r="N50" s="105">
        <v>0</v>
      </c>
      <c r="O50" s="106">
        <v>0</v>
      </c>
      <c r="P50" s="105">
        <v>0</v>
      </c>
      <c r="Q50" s="105">
        <v>0</v>
      </c>
      <c r="R50" s="142">
        <v>0</v>
      </c>
      <c r="S50" s="105">
        <v>0</v>
      </c>
      <c r="T50" s="104">
        <v>0</v>
      </c>
      <c r="U50" s="105">
        <v>0</v>
      </c>
      <c r="V50" s="142">
        <v>0</v>
      </c>
      <c r="W50" s="106">
        <v>0</v>
      </c>
    </row>
    <row r="51" spans="1:25" x14ac:dyDescent="0.15">
      <c r="A51" s="101"/>
      <c r="B51" s="100" t="s">
        <v>109</v>
      </c>
      <c r="C51" s="100"/>
      <c r="D51" s="104"/>
      <c r="E51" s="105"/>
      <c r="F51" s="105">
        <f>SUM(F49:F50)</f>
        <v>43124.25</v>
      </c>
      <c r="G51" s="106">
        <f t="shared" ref="G51:W51" si="18">SUM(G49:G50)</f>
        <v>57969</v>
      </c>
      <c r="H51" s="105">
        <f t="shared" si="18"/>
        <v>57969</v>
      </c>
      <c r="I51" s="105">
        <f t="shared" si="18"/>
        <v>57969</v>
      </c>
      <c r="J51" s="105">
        <f t="shared" si="18"/>
        <v>57969</v>
      </c>
      <c r="K51" s="105">
        <f t="shared" si="18"/>
        <v>57969</v>
      </c>
      <c r="L51" s="104">
        <f t="shared" si="18"/>
        <v>57969</v>
      </c>
      <c r="M51" s="105">
        <f t="shared" si="18"/>
        <v>57969</v>
      </c>
      <c r="N51" s="105">
        <f t="shared" si="18"/>
        <v>57969</v>
      </c>
      <c r="O51" s="106">
        <f t="shared" si="18"/>
        <v>57969</v>
      </c>
      <c r="P51" s="105">
        <f t="shared" si="18"/>
        <v>57969</v>
      </c>
      <c r="Q51" s="105">
        <f t="shared" si="18"/>
        <v>57969</v>
      </c>
      <c r="R51" s="142">
        <f t="shared" si="18"/>
        <v>57969</v>
      </c>
      <c r="S51" s="105">
        <f t="shared" si="18"/>
        <v>57969</v>
      </c>
      <c r="T51" s="104">
        <f t="shared" si="18"/>
        <v>57969</v>
      </c>
      <c r="U51" s="105">
        <f t="shared" si="18"/>
        <v>57969</v>
      </c>
      <c r="V51" s="142">
        <f t="shared" si="18"/>
        <v>57969</v>
      </c>
      <c r="W51" s="106">
        <f t="shared" si="18"/>
        <v>57969</v>
      </c>
    </row>
    <row r="52" spans="1:25" x14ac:dyDescent="0.15">
      <c r="A52" s="101"/>
      <c r="B52" s="100"/>
      <c r="C52" s="100"/>
      <c r="D52" s="104"/>
      <c r="E52" s="105"/>
      <c r="F52" s="105"/>
      <c r="G52" s="106"/>
      <c r="H52" s="100"/>
      <c r="I52" s="100"/>
      <c r="J52" s="100"/>
      <c r="K52" s="100"/>
      <c r="L52" s="101"/>
      <c r="M52" s="100"/>
      <c r="N52" s="100"/>
      <c r="O52" s="102"/>
      <c r="P52" s="100"/>
      <c r="Q52" s="100"/>
      <c r="R52" s="143"/>
      <c r="S52" s="100"/>
      <c r="T52" s="101"/>
      <c r="U52" s="100"/>
      <c r="V52" s="143"/>
      <c r="W52" s="102"/>
    </row>
    <row r="53" spans="1:25" x14ac:dyDescent="0.15">
      <c r="A53" s="101"/>
      <c r="B53" s="100"/>
      <c r="C53" s="100"/>
      <c r="D53" s="104"/>
      <c r="E53" s="105"/>
      <c r="F53" s="105"/>
      <c r="G53" s="106"/>
      <c r="H53" s="100"/>
      <c r="I53" s="100"/>
      <c r="J53" s="100"/>
      <c r="K53" s="100"/>
      <c r="L53" s="101"/>
      <c r="M53" s="100"/>
      <c r="N53" s="100"/>
      <c r="O53" s="102"/>
      <c r="P53" s="100"/>
      <c r="Q53" s="100"/>
      <c r="R53" s="143"/>
      <c r="S53" s="100"/>
      <c r="T53" s="101"/>
      <c r="U53" s="100"/>
      <c r="V53" s="143"/>
      <c r="W53" s="102"/>
    </row>
    <row r="54" spans="1:25" x14ac:dyDescent="0.15">
      <c r="A54" s="101" t="s">
        <v>52</v>
      </c>
      <c r="B54" s="100"/>
      <c r="C54" s="100"/>
      <c r="D54" s="104"/>
      <c r="E54" s="105">
        <v>720000</v>
      </c>
      <c r="F54" s="105">
        <f>E54-F42</f>
        <v>685500.6</v>
      </c>
      <c r="G54" s="106">
        <f t="shared" ref="G54:W55" si="19">F54-G42</f>
        <v>639125.4</v>
      </c>
      <c r="H54" s="105">
        <f t="shared" si="19"/>
        <v>592750.20000000007</v>
      </c>
      <c r="I54" s="105">
        <f t="shared" si="19"/>
        <v>546375.00000000012</v>
      </c>
      <c r="J54" s="105">
        <f t="shared" si="19"/>
        <v>499999.8000000001</v>
      </c>
      <c r="K54" s="105">
        <f t="shared" si="19"/>
        <v>453624.60000000009</v>
      </c>
      <c r="L54" s="104">
        <f t="shared" si="19"/>
        <v>407249.40000000008</v>
      </c>
      <c r="M54" s="105">
        <f t="shared" si="19"/>
        <v>360874.20000000007</v>
      </c>
      <c r="N54" s="105">
        <f t="shared" si="19"/>
        <v>314499.00000000006</v>
      </c>
      <c r="O54" s="106">
        <f t="shared" si="19"/>
        <v>268123.80000000005</v>
      </c>
      <c r="P54" s="105">
        <f t="shared" si="19"/>
        <v>221748.60000000003</v>
      </c>
      <c r="Q54" s="105">
        <f t="shared" si="19"/>
        <v>175373.40000000002</v>
      </c>
      <c r="R54" s="142">
        <f t="shared" si="19"/>
        <v>128998.20000000003</v>
      </c>
      <c r="S54" s="105">
        <f t="shared" si="19"/>
        <v>82623.000000000029</v>
      </c>
      <c r="T54" s="104">
        <f t="shared" si="19"/>
        <v>36247.800000000032</v>
      </c>
      <c r="U54" s="105">
        <f t="shared" si="19"/>
        <v>0</v>
      </c>
      <c r="V54" s="142">
        <f t="shared" si="19"/>
        <v>0</v>
      </c>
      <c r="W54" s="106">
        <f t="shared" si="19"/>
        <v>0</v>
      </c>
    </row>
    <row r="55" spans="1:25" x14ac:dyDescent="0.15">
      <c r="A55" s="101" t="s">
        <v>118</v>
      </c>
      <c r="B55" s="100"/>
      <c r="C55" s="100"/>
      <c r="D55" s="101"/>
      <c r="E55" s="110">
        <v>180000</v>
      </c>
      <c r="F55" s="105">
        <f>E55-F43</f>
        <v>171375.15</v>
      </c>
      <c r="G55" s="106">
        <f t="shared" si="19"/>
        <v>159781.35</v>
      </c>
      <c r="H55" s="105">
        <f t="shared" si="19"/>
        <v>148187.55000000002</v>
      </c>
      <c r="I55" s="105">
        <f t="shared" si="19"/>
        <v>136593.75000000003</v>
      </c>
      <c r="J55" s="105">
        <f t="shared" si="19"/>
        <v>124999.95000000003</v>
      </c>
      <c r="K55" s="105">
        <f t="shared" si="19"/>
        <v>113406.15000000002</v>
      </c>
      <c r="L55" s="104">
        <f t="shared" si="19"/>
        <v>101812.35000000002</v>
      </c>
      <c r="M55" s="105">
        <f t="shared" si="19"/>
        <v>90218.550000000017</v>
      </c>
      <c r="N55" s="105">
        <f t="shared" si="19"/>
        <v>78624.750000000015</v>
      </c>
      <c r="O55" s="106">
        <f t="shared" si="19"/>
        <v>67030.950000000012</v>
      </c>
      <c r="P55" s="105">
        <f t="shared" si="19"/>
        <v>55437.150000000009</v>
      </c>
      <c r="Q55" s="105">
        <f t="shared" si="19"/>
        <v>43843.350000000006</v>
      </c>
      <c r="R55" s="142">
        <f t="shared" si="19"/>
        <v>32249.550000000007</v>
      </c>
      <c r="S55" s="105">
        <f t="shared" si="19"/>
        <v>20655.750000000007</v>
      </c>
      <c r="T55" s="104">
        <f t="shared" si="19"/>
        <v>9061.950000000008</v>
      </c>
      <c r="U55" s="105">
        <f t="shared" si="19"/>
        <v>0</v>
      </c>
      <c r="V55" s="142">
        <f t="shared" si="19"/>
        <v>0</v>
      </c>
      <c r="W55" s="106">
        <f t="shared" si="19"/>
        <v>0</v>
      </c>
    </row>
    <row r="56" spans="1:25" x14ac:dyDescent="0.15">
      <c r="A56" s="113" t="s">
        <v>121</v>
      </c>
      <c r="B56" s="114"/>
      <c r="C56" s="114"/>
      <c r="D56" s="113"/>
      <c r="E56" s="115"/>
      <c r="F56" s="115">
        <f t="shared" ref="F56:W56" si="20">E56+F47-F51</f>
        <v>0</v>
      </c>
      <c r="G56" s="116">
        <f t="shared" si="20"/>
        <v>579.69000000000233</v>
      </c>
      <c r="H56" s="115">
        <f t="shared" si="20"/>
        <v>2608.6050000000032</v>
      </c>
      <c r="I56" s="115">
        <f t="shared" si="20"/>
        <v>9564.8850000000093</v>
      </c>
      <c r="J56" s="115">
        <f t="shared" si="20"/>
        <v>17680.545000000013</v>
      </c>
      <c r="K56" s="115">
        <f t="shared" si="20"/>
        <v>27535.275000000009</v>
      </c>
      <c r="L56" s="117">
        <f t="shared" si="20"/>
        <v>29564.190000000002</v>
      </c>
      <c r="M56" s="115">
        <f t="shared" si="20"/>
        <v>36520.47</v>
      </c>
      <c r="N56" s="115">
        <f t="shared" si="20"/>
        <v>44636.130000000005</v>
      </c>
      <c r="O56" s="116">
        <f t="shared" si="20"/>
        <v>54490.86</v>
      </c>
      <c r="P56" s="115">
        <f t="shared" si="20"/>
        <v>56519.774999999994</v>
      </c>
      <c r="Q56" s="115">
        <f t="shared" si="20"/>
        <v>63476.054999999993</v>
      </c>
      <c r="R56" s="144">
        <f t="shared" si="20"/>
        <v>71591.714999999997</v>
      </c>
      <c r="S56" s="115">
        <f t="shared" si="20"/>
        <v>81446.445000000007</v>
      </c>
      <c r="T56" s="117">
        <f t="shared" si="20"/>
        <v>83475.360000000015</v>
      </c>
      <c r="U56" s="115">
        <f t="shared" si="20"/>
        <v>77772.390000000072</v>
      </c>
      <c r="V56" s="144">
        <f t="shared" si="20"/>
        <v>27919.050000000076</v>
      </c>
      <c r="W56" s="116">
        <f t="shared" si="20"/>
        <v>-20195.219999999921</v>
      </c>
    </row>
    <row r="57" spans="1:25" ht="15" thickBot="1" x14ac:dyDescent="0.2">
      <c r="A57" s="101"/>
      <c r="B57" s="100"/>
      <c r="C57" s="100"/>
      <c r="D57" s="101"/>
      <c r="E57" s="100"/>
      <c r="F57" s="100"/>
      <c r="G57" s="102"/>
      <c r="H57" s="100"/>
      <c r="I57" s="100"/>
      <c r="J57" s="100"/>
      <c r="K57" s="100"/>
      <c r="L57" s="101"/>
      <c r="M57" s="100"/>
      <c r="N57" s="100"/>
      <c r="O57" s="102"/>
      <c r="P57" s="100"/>
      <c r="Q57" s="100"/>
      <c r="R57" s="146"/>
      <c r="S57" s="100"/>
      <c r="T57" s="101"/>
      <c r="U57" s="100"/>
      <c r="V57" s="146"/>
      <c r="W57" s="102"/>
    </row>
    <row r="58" spans="1:25" ht="15" thickBot="1" x14ac:dyDescent="0.2">
      <c r="A58" s="134" t="s">
        <v>122</v>
      </c>
      <c r="B58" s="135"/>
      <c r="C58" s="135"/>
      <c r="D58" s="136">
        <f>D56+D39+D23</f>
        <v>0</v>
      </c>
      <c r="E58" s="137">
        <f t="shared" ref="E58:W58" si="21">E56+E39+E23</f>
        <v>0</v>
      </c>
      <c r="F58" s="137">
        <f t="shared" si="21"/>
        <v>4947</v>
      </c>
      <c r="G58" s="138">
        <f t="shared" si="21"/>
        <v>13258.690000000002</v>
      </c>
      <c r="H58" s="137">
        <f t="shared" si="21"/>
        <v>39919.532415584406</v>
      </c>
      <c r="I58" s="137">
        <f t="shared" si="21"/>
        <v>31232.452461038956</v>
      </c>
      <c r="J58" s="137">
        <f t="shared" si="21"/>
        <v>24425.512461038954</v>
      </c>
      <c r="K58" s="137">
        <f t="shared" si="21"/>
        <v>22587.452442857128</v>
      </c>
      <c r="L58" s="136">
        <f t="shared" si="21"/>
        <v>-8057.8261847609974</v>
      </c>
      <c r="M58" s="137">
        <f t="shared" si="21"/>
        <v>-32354.62607250343</v>
      </c>
      <c r="N58" s="137">
        <f t="shared" si="21"/>
        <v>-53551.57003772381</v>
      </c>
      <c r="O58" s="138">
        <f t="shared" si="21"/>
        <v>-70389.438105220106</v>
      </c>
      <c r="P58" s="137">
        <f t="shared" si="21"/>
        <v>-101034.71673283822</v>
      </c>
      <c r="Q58" s="137">
        <f t="shared" si="21"/>
        <v>-124721.67474453687</v>
      </c>
      <c r="R58" s="137">
        <f t="shared" si="21"/>
        <v>-167428.61870975725</v>
      </c>
      <c r="S58" s="137">
        <f t="shared" si="21"/>
        <v>-220536.48677725357</v>
      </c>
      <c r="T58" s="136">
        <f t="shared" si="21"/>
        <v>-286841.92326270026</v>
      </c>
      <c r="U58" s="137">
        <f t="shared" si="21"/>
        <v>-360067.97315044259</v>
      </c>
      <c r="V58" s="137">
        <f t="shared" si="21"/>
        <v>-475503.917115663</v>
      </c>
      <c r="W58" s="138">
        <f t="shared" si="21"/>
        <v>-587190.62818238884</v>
      </c>
    </row>
  </sheetData>
  <mergeCells count="5">
    <mergeCell ref="D1:G1"/>
    <mergeCell ref="H1:K1"/>
    <mergeCell ref="L1:O1"/>
    <mergeCell ref="P1:S1"/>
    <mergeCell ref="T1:W1"/>
  </mergeCells>
  <pageMargins left="0.2" right="0.2" top="0.25" bottom="0.25" header="0.3" footer="0.3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AB32"/>
  <sheetViews>
    <sheetView workbookViewId="0">
      <selection activeCell="N18" sqref="N18"/>
    </sheetView>
  </sheetViews>
  <sheetFormatPr baseColWidth="10" defaultColWidth="8.83203125" defaultRowHeight="15" x14ac:dyDescent="0.2"/>
  <cols>
    <col min="1" max="1" width="6.6640625" customWidth="1"/>
    <col min="4" max="28" width="11.5" bestFit="1" customWidth="1"/>
  </cols>
  <sheetData>
    <row r="1" spans="1:28" x14ac:dyDescent="0.2">
      <c r="A1" s="10"/>
      <c r="B1" s="11"/>
      <c r="C1" s="11"/>
      <c r="D1" s="21">
        <v>2014</v>
      </c>
      <c r="E1" s="182">
        <v>2015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>
        <v>2016</v>
      </c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4"/>
    </row>
    <row r="2" spans="1:28" s="62" customFormat="1" x14ac:dyDescent="0.2">
      <c r="A2" s="64"/>
      <c r="B2" s="65"/>
      <c r="C2" s="65"/>
      <c r="D2" s="66" t="s">
        <v>49</v>
      </c>
      <c r="E2" s="32" t="s">
        <v>39</v>
      </c>
      <c r="F2" s="32" t="s">
        <v>40</v>
      </c>
      <c r="G2" s="32" t="s">
        <v>41</v>
      </c>
      <c r="H2" s="32" t="s">
        <v>42</v>
      </c>
      <c r="I2" s="32" t="s">
        <v>20</v>
      </c>
      <c r="J2" s="32" t="s">
        <v>43</v>
      </c>
      <c r="K2" s="32" t="s">
        <v>44</v>
      </c>
      <c r="L2" s="32" t="s">
        <v>45</v>
      </c>
      <c r="M2" s="32" t="s">
        <v>46</v>
      </c>
      <c r="N2" s="32" t="s">
        <v>47</v>
      </c>
      <c r="O2" s="32" t="s">
        <v>48</v>
      </c>
      <c r="P2" s="32" t="s">
        <v>49</v>
      </c>
      <c r="Q2" s="34" t="s">
        <v>39</v>
      </c>
      <c r="R2" s="32" t="s">
        <v>40</v>
      </c>
      <c r="S2" s="32" t="s">
        <v>41</v>
      </c>
      <c r="T2" s="32" t="s">
        <v>42</v>
      </c>
      <c r="U2" s="32" t="s">
        <v>20</v>
      </c>
      <c r="V2" s="32" t="s">
        <v>43</v>
      </c>
      <c r="W2" s="32" t="s">
        <v>44</v>
      </c>
      <c r="X2" s="32" t="s">
        <v>45</v>
      </c>
      <c r="Y2" s="32" t="s">
        <v>46</v>
      </c>
      <c r="Z2" s="32" t="s">
        <v>47</v>
      </c>
      <c r="AA2" s="32" t="s">
        <v>48</v>
      </c>
      <c r="AB2" s="33" t="s">
        <v>49</v>
      </c>
    </row>
    <row r="3" spans="1:28" x14ac:dyDescent="0.2">
      <c r="A3" s="12" t="s">
        <v>29</v>
      </c>
      <c r="B3" s="9"/>
      <c r="C3" s="9" t="s">
        <v>50</v>
      </c>
      <c r="D3" s="23">
        <v>22</v>
      </c>
      <c r="E3" s="9">
        <v>21</v>
      </c>
      <c r="F3" s="9">
        <v>20</v>
      </c>
      <c r="G3" s="9">
        <v>22</v>
      </c>
      <c r="H3" s="9">
        <v>22</v>
      </c>
      <c r="I3" s="9">
        <v>20</v>
      </c>
      <c r="J3" s="9">
        <v>22</v>
      </c>
      <c r="K3" s="9">
        <v>22</v>
      </c>
      <c r="L3" s="9">
        <v>21</v>
      </c>
      <c r="M3" s="9">
        <v>21</v>
      </c>
      <c r="N3" s="9">
        <v>22</v>
      </c>
      <c r="O3" s="9">
        <v>20</v>
      </c>
      <c r="P3" s="9">
        <v>21</v>
      </c>
      <c r="Q3" s="12">
        <v>20</v>
      </c>
      <c r="R3" s="9">
        <v>21</v>
      </c>
      <c r="S3" s="9">
        <v>23</v>
      </c>
      <c r="T3" s="9">
        <v>21</v>
      </c>
      <c r="U3" s="9">
        <v>21</v>
      </c>
      <c r="V3" s="9">
        <v>22</v>
      </c>
      <c r="W3" s="9">
        <v>21</v>
      </c>
      <c r="X3" s="9">
        <v>23</v>
      </c>
      <c r="Y3" s="9">
        <v>21</v>
      </c>
      <c r="Z3" s="9">
        <v>21</v>
      </c>
      <c r="AA3" s="9">
        <v>21</v>
      </c>
      <c r="AB3" s="15">
        <v>21</v>
      </c>
    </row>
    <row r="4" spans="1:28" x14ac:dyDescent="0.2">
      <c r="A4" s="12"/>
      <c r="B4" s="9" t="s">
        <v>30</v>
      </c>
      <c r="C4" s="9"/>
      <c r="D4" s="45">
        <v>8523.74</v>
      </c>
      <c r="E4" s="46">
        <v>8556.86</v>
      </c>
      <c r="F4" s="46">
        <f t="shared" ref="F4:Q4" si="0">ROUND(0.8*(F13-F7),2)</f>
        <v>8538.69</v>
      </c>
      <c r="G4" s="46">
        <f t="shared" si="0"/>
        <v>9464.7099999999991</v>
      </c>
      <c r="H4" s="46">
        <f t="shared" si="0"/>
        <v>9570.9599999999991</v>
      </c>
      <c r="I4" s="46">
        <f t="shared" si="0"/>
        <v>8642.31</v>
      </c>
      <c r="J4" s="46">
        <f t="shared" si="0"/>
        <v>9205.94</v>
      </c>
      <c r="K4" s="39">
        <f t="shared" si="0"/>
        <v>9230.5400000000009</v>
      </c>
      <c r="L4" s="39">
        <f t="shared" si="0"/>
        <v>8810.9699999999993</v>
      </c>
      <c r="M4" s="39">
        <f t="shared" si="0"/>
        <v>8606.06</v>
      </c>
      <c r="N4" s="39">
        <f t="shared" si="0"/>
        <v>8801.2099999999991</v>
      </c>
      <c r="O4" s="39">
        <f t="shared" si="0"/>
        <v>7903.53</v>
      </c>
      <c r="P4" s="39">
        <f t="shared" si="0"/>
        <v>8136.29</v>
      </c>
      <c r="Q4" s="47">
        <f t="shared" si="0"/>
        <v>8149.39</v>
      </c>
      <c r="R4" s="39">
        <f>Q20</f>
        <v>7128.0100000000011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48">
        <v>0</v>
      </c>
    </row>
    <row r="5" spans="1:28" x14ac:dyDescent="0.2">
      <c r="A5" s="12"/>
      <c r="B5" s="9" t="s">
        <v>31</v>
      </c>
      <c r="C5" s="9"/>
      <c r="D5" s="45">
        <v>2130.9299999999998</v>
      </c>
      <c r="E5" s="46">
        <v>2139.2199999999998</v>
      </c>
      <c r="F5" s="46">
        <f t="shared" ref="F5:Q5" si="1">ROUND(0.2*(F13-F7),2)</f>
        <v>2134.67</v>
      </c>
      <c r="G5" s="46">
        <f t="shared" si="1"/>
        <v>2366.1799999999998</v>
      </c>
      <c r="H5" s="46">
        <f t="shared" si="1"/>
        <v>2392.7399999999998</v>
      </c>
      <c r="I5" s="46">
        <f t="shared" si="1"/>
        <v>2160.58</v>
      </c>
      <c r="J5" s="46">
        <f t="shared" si="1"/>
        <v>2301.4899999999998</v>
      </c>
      <c r="K5" s="39">
        <f t="shared" si="1"/>
        <v>2307.63</v>
      </c>
      <c r="L5" s="39">
        <f t="shared" si="1"/>
        <v>2202.7399999999998</v>
      </c>
      <c r="M5" s="39">
        <f t="shared" si="1"/>
        <v>2151.52</v>
      </c>
      <c r="N5" s="39">
        <f t="shared" si="1"/>
        <v>2200.3000000000002</v>
      </c>
      <c r="O5" s="39">
        <f t="shared" si="1"/>
        <v>1975.88</v>
      </c>
      <c r="P5" s="39">
        <f t="shared" si="1"/>
        <v>2034.07</v>
      </c>
      <c r="Q5" s="47">
        <f t="shared" si="1"/>
        <v>2037.35</v>
      </c>
      <c r="R5" s="39">
        <f>Q21</f>
        <v>1782.5099999999989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48">
        <v>0</v>
      </c>
    </row>
    <row r="6" spans="1:28" x14ac:dyDescent="0.2">
      <c r="A6" s="12"/>
      <c r="B6" s="9" t="s">
        <v>101</v>
      </c>
      <c r="C6" s="9"/>
      <c r="D6" s="45"/>
      <c r="E6" s="46"/>
      <c r="F6" s="46"/>
      <c r="G6" s="46"/>
      <c r="H6" s="46"/>
      <c r="I6" s="46"/>
      <c r="J6" s="46"/>
      <c r="K6" s="39"/>
      <c r="L6" s="39"/>
      <c r="M6" s="39"/>
      <c r="N6" s="39"/>
      <c r="O6" s="39"/>
      <c r="P6" s="39"/>
      <c r="Q6" s="47">
        <v>2500</v>
      </c>
      <c r="R6" s="39">
        <v>2500</v>
      </c>
      <c r="S6" s="39">
        <v>2500</v>
      </c>
      <c r="T6" s="39">
        <v>2500</v>
      </c>
      <c r="U6" s="39">
        <v>2500</v>
      </c>
      <c r="V6" s="39">
        <v>2500</v>
      </c>
      <c r="W6" s="39">
        <v>2500</v>
      </c>
      <c r="X6" s="39">
        <v>2500</v>
      </c>
      <c r="Y6" s="39">
        <v>2500</v>
      </c>
      <c r="Z6" s="39">
        <v>2500</v>
      </c>
      <c r="AA6" s="39">
        <v>2500</v>
      </c>
      <c r="AB6" s="48">
        <v>2500</v>
      </c>
    </row>
    <row r="7" spans="1:28" x14ac:dyDescent="0.2">
      <c r="A7" s="12"/>
      <c r="B7" s="9" t="s">
        <v>38</v>
      </c>
      <c r="C7" s="9"/>
      <c r="D7" s="45">
        <v>2761.81</v>
      </c>
      <c r="E7" s="46">
        <v>2110.56</v>
      </c>
      <c r="F7" s="46">
        <v>1523.44</v>
      </c>
      <c r="G7" s="46">
        <v>1585.59</v>
      </c>
      <c r="H7" s="46">
        <v>1452.78</v>
      </c>
      <c r="I7" s="46">
        <v>1393.91</v>
      </c>
      <c r="J7" s="46">
        <v>1909.05</v>
      </c>
      <c r="K7" s="39">
        <f t="shared" ref="K7:AB7" si="2">K8*K13</f>
        <v>1878.3072000000004</v>
      </c>
      <c r="L7" s="39">
        <f t="shared" si="2"/>
        <v>1792.9296000000004</v>
      </c>
      <c r="M7" s="39">
        <f t="shared" si="2"/>
        <v>2049.0624000000003</v>
      </c>
      <c r="N7" s="39">
        <f t="shared" si="2"/>
        <v>2414.9664000000002</v>
      </c>
      <c r="O7" s="39">
        <f t="shared" si="2"/>
        <v>2317.3920000000003</v>
      </c>
      <c r="P7" s="39">
        <f t="shared" si="2"/>
        <v>2636.2731818181819</v>
      </c>
      <c r="Q7" s="47">
        <f t="shared" si="2"/>
        <v>2010.0571428571432</v>
      </c>
      <c r="R7" s="39">
        <f t="shared" si="2"/>
        <v>1599.6120000000003</v>
      </c>
      <c r="S7" s="39">
        <f t="shared" si="2"/>
        <v>1657.6622727272729</v>
      </c>
      <c r="T7" s="39">
        <f t="shared" si="2"/>
        <v>1386.7445454545457</v>
      </c>
      <c r="U7" s="39">
        <f t="shared" si="2"/>
        <v>1463.6055000000003</v>
      </c>
      <c r="V7" s="39">
        <f t="shared" si="2"/>
        <v>1909.0500000000004</v>
      </c>
      <c r="W7" s="39">
        <f t="shared" si="2"/>
        <v>1792.9296000000004</v>
      </c>
      <c r="X7" s="39">
        <f t="shared" si="2"/>
        <v>1963.6848000000005</v>
      </c>
      <c r="Y7" s="39">
        <f t="shared" si="2"/>
        <v>2049.0624000000003</v>
      </c>
      <c r="Z7" s="39">
        <f t="shared" si="2"/>
        <v>2305.1952000000001</v>
      </c>
      <c r="AA7" s="39">
        <f t="shared" si="2"/>
        <v>2433.2616000000003</v>
      </c>
      <c r="AB7" s="48">
        <f t="shared" si="2"/>
        <v>2636.2731818181819</v>
      </c>
    </row>
    <row r="8" spans="1:28" hidden="1" x14ac:dyDescent="0.2">
      <c r="A8" s="12"/>
      <c r="B8" s="9"/>
      <c r="C8" s="9" t="s">
        <v>51</v>
      </c>
      <c r="D8" s="49">
        <v>0.20585205657519706</v>
      </c>
      <c r="E8" s="50">
        <v>0.16480200895785313</v>
      </c>
      <c r="F8" s="50">
        <v>0.12490489308671128</v>
      </c>
      <c r="G8" s="50">
        <v>0.11818226539300919</v>
      </c>
      <c r="H8" s="50">
        <v>0.1082832456799399</v>
      </c>
      <c r="I8" s="50">
        <v>0.11428489439853078</v>
      </c>
      <c r="J8" s="50">
        <v>0.14229142070051162</v>
      </c>
      <c r="K8" s="40">
        <v>0.14000000000000001</v>
      </c>
      <c r="L8" s="40">
        <v>0.14000000000000001</v>
      </c>
      <c r="M8" s="40">
        <v>0.16</v>
      </c>
      <c r="N8" s="40">
        <v>0.18</v>
      </c>
      <c r="O8" s="40">
        <v>0.19</v>
      </c>
      <c r="P8" s="51">
        <v>0.20585205657519706</v>
      </c>
      <c r="Q8" s="52">
        <v>0.16480200895785313</v>
      </c>
      <c r="R8" s="51">
        <v>0.12490489308671128</v>
      </c>
      <c r="S8" s="51">
        <v>0.11818226539300919</v>
      </c>
      <c r="T8" s="51">
        <v>0.1082832456799399</v>
      </c>
      <c r="U8" s="51">
        <v>0.11428489439853078</v>
      </c>
      <c r="V8" s="51">
        <v>0.14229142070051162</v>
      </c>
      <c r="W8" s="40">
        <v>0.14000000000000001</v>
      </c>
      <c r="X8" s="40">
        <v>0.14000000000000001</v>
      </c>
      <c r="Y8" s="40">
        <v>0.16</v>
      </c>
      <c r="Z8" s="40">
        <v>0.18</v>
      </c>
      <c r="AA8" s="40">
        <v>0.19</v>
      </c>
      <c r="AB8" s="53">
        <v>0.20585205657519706</v>
      </c>
    </row>
    <row r="9" spans="1:28" x14ac:dyDescent="0.2">
      <c r="A9" s="12"/>
      <c r="B9" s="44" t="s">
        <v>59</v>
      </c>
      <c r="C9" s="9"/>
      <c r="D9" s="49"/>
      <c r="E9" s="50"/>
      <c r="F9" s="50"/>
      <c r="G9" s="50"/>
      <c r="H9" s="50"/>
      <c r="I9" s="50"/>
      <c r="J9" s="50"/>
      <c r="K9" s="40"/>
      <c r="L9" s="40"/>
      <c r="M9" s="40"/>
      <c r="N9" s="40"/>
      <c r="O9" s="40"/>
      <c r="P9" s="51"/>
      <c r="Q9" s="52">
        <v>12500</v>
      </c>
      <c r="R9" s="51"/>
      <c r="S9" s="51"/>
      <c r="T9" s="51"/>
      <c r="U9" s="51"/>
      <c r="V9" s="51"/>
      <c r="W9" s="40"/>
      <c r="X9" s="40"/>
      <c r="Y9" s="40"/>
      <c r="Z9" s="40"/>
      <c r="AA9" s="40"/>
      <c r="AB9" s="53"/>
    </row>
    <row r="10" spans="1:28" x14ac:dyDescent="0.2">
      <c r="A10" s="12"/>
      <c r="B10" s="44" t="s">
        <v>60</v>
      </c>
      <c r="C10" s="9"/>
      <c r="D10" s="49"/>
      <c r="E10" s="50"/>
      <c r="F10" s="50"/>
      <c r="G10" s="50"/>
      <c r="H10" s="50"/>
      <c r="I10" s="50"/>
      <c r="J10" s="50"/>
      <c r="K10" s="40"/>
      <c r="L10" s="40"/>
      <c r="M10" s="40"/>
      <c r="N10" s="40"/>
      <c r="O10" s="40"/>
      <c r="P10" s="51"/>
      <c r="Q10" s="52">
        <v>25000</v>
      </c>
      <c r="R10" s="51"/>
      <c r="S10" s="51"/>
      <c r="T10" s="51"/>
      <c r="U10" s="51"/>
      <c r="V10" s="51"/>
      <c r="W10" s="40"/>
      <c r="X10" s="40"/>
      <c r="Y10" s="40"/>
      <c r="Z10" s="40"/>
      <c r="AA10" s="40"/>
      <c r="AB10" s="53"/>
    </row>
    <row r="11" spans="1:28" x14ac:dyDescent="0.2">
      <c r="A11" s="12"/>
      <c r="B11" s="9"/>
      <c r="C11" s="9"/>
      <c r="D11" s="54"/>
      <c r="E11" s="55"/>
      <c r="F11" s="55"/>
      <c r="G11" s="55"/>
      <c r="H11" s="55"/>
      <c r="I11" s="55"/>
      <c r="J11" s="55"/>
      <c r="K11" s="40"/>
      <c r="L11" s="40"/>
      <c r="M11" s="40"/>
      <c r="N11" s="40"/>
      <c r="O11" s="40"/>
      <c r="P11" s="40"/>
      <c r="Q11" s="56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</row>
    <row r="12" spans="1:28" x14ac:dyDescent="0.2">
      <c r="A12" s="12" t="s">
        <v>32</v>
      </c>
      <c r="B12" s="9"/>
      <c r="C12" s="9"/>
      <c r="D12" s="54"/>
      <c r="E12" s="55"/>
      <c r="F12" s="55"/>
      <c r="G12" s="55"/>
      <c r="H12" s="55"/>
      <c r="I12" s="55"/>
      <c r="J12" s="55"/>
      <c r="K12" s="40"/>
      <c r="L12" s="40"/>
      <c r="M12" s="40"/>
      <c r="N12" s="40"/>
      <c r="O12" s="40"/>
      <c r="P12" s="40"/>
      <c r="Q12" s="56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x14ac:dyDescent="0.2">
      <c r="A13" s="12"/>
      <c r="B13" s="9" t="s">
        <v>33</v>
      </c>
      <c r="C13" s="9"/>
      <c r="D13" s="45">
        <f>SUM(D4:D7)</f>
        <v>13416.48</v>
      </c>
      <c r="E13" s="46">
        <f>SUM(E4:E7)</f>
        <v>12806.64</v>
      </c>
      <c r="F13" s="46">
        <f>3049.2*4</f>
        <v>12196.8</v>
      </c>
      <c r="G13" s="46">
        <f>3049.2*4+1219.68</f>
        <v>13416.48</v>
      </c>
      <c r="H13" s="46">
        <f>3049.2*3+1829.52+2439.36</f>
        <v>13416.48</v>
      </c>
      <c r="I13" s="46">
        <f>3049.2*3+609.84+2439.36</f>
        <v>12196.8</v>
      </c>
      <c r="J13" s="46">
        <f>3049.2*4+1219.68</f>
        <v>13416.48</v>
      </c>
      <c r="K13" s="39">
        <f t="shared" ref="K13:AB13" si="3">609.84*K3</f>
        <v>13416.480000000001</v>
      </c>
      <c r="L13" s="39">
        <f t="shared" si="3"/>
        <v>12806.640000000001</v>
      </c>
      <c r="M13" s="39">
        <f t="shared" si="3"/>
        <v>12806.640000000001</v>
      </c>
      <c r="N13" s="39">
        <f t="shared" si="3"/>
        <v>13416.480000000001</v>
      </c>
      <c r="O13" s="39">
        <f t="shared" si="3"/>
        <v>12196.800000000001</v>
      </c>
      <c r="P13" s="39">
        <f t="shared" si="3"/>
        <v>12806.640000000001</v>
      </c>
      <c r="Q13" s="47">
        <f t="shared" si="3"/>
        <v>12196.800000000001</v>
      </c>
      <c r="R13" s="39">
        <f t="shared" si="3"/>
        <v>12806.640000000001</v>
      </c>
      <c r="S13" s="39">
        <f t="shared" si="3"/>
        <v>14026.320000000002</v>
      </c>
      <c r="T13" s="39">
        <f t="shared" si="3"/>
        <v>12806.640000000001</v>
      </c>
      <c r="U13" s="39">
        <f t="shared" si="3"/>
        <v>12806.640000000001</v>
      </c>
      <c r="V13" s="39">
        <f t="shared" si="3"/>
        <v>13416.480000000001</v>
      </c>
      <c r="W13" s="39">
        <f t="shared" si="3"/>
        <v>12806.640000000001</v>
      </c>
      <c r="X13" s="39">
        <f t="shared" si="3"/>
        <v>14026.320000000002</v>
      </c>
      <c r="Y13" s="39">
        <f t="shared" si="3"/>
        <v>12806.640000000001</v>
      </c>
      <c r="Z13" s="39">
        <f t="shared" si="3"/>
        <v>12806.640000000001</v>
      </c>
      <c r="AA13" s="39">
        <f t="shared" si="3"/>
        <v>12806.640000000001</v>
      </c>
      <c r="AB13" s="48">
        <f t="shared" si="3"/>
        <v>12806.640000000001</v>
      </c>
    </row>
    <row r="14" spans="1:28" x14ac:dyDescent="0.2">
      <c r="A14" s="12"/>
      <c r="B14" s="9" t="s">
        <v>34</v>
      </c>
      <c r="C14" s="9"/>
      <c r="D14" s="54"/>
      <c r="E14" s="55"/>
      <c r="F14" s="55"/>
      <c r="G14" s="55"/>
      <c r="H14" s="55"/>
      <c r="I14" s="55"/>
      <c r="J14" s="55"/>
      <c r="K14" s="40"/>
      <c r="L14" s="40"/>
      <c r="M14" s="40"/>
      <c r="N14" s="40"/>
      <c r="O14" s="40"/>
      <c r="P14" s="40"/>
      <c r="Q14" s="56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x14ac:dyDescent="0.2">
      <c r="A15" s="12"/>
      <c r="B15" s="9" t="s">
        <v>35</v>
      </c>
      <c r="C15" s="9"/>
      <c r="D15" s="54"/>
      <c r="E15" s="55"/>
      <c r="F15" s="55"/>
      <c r="G15" s="55"/>
      <c r="H15" s="55"/>
      <c r="I15" s="55"/>
      <c r="J15" s="55"/>
      <c r="K15" s="40"/>
      <c r="L15" s="40"/>
      <c r="M15" s="40"/>
      <c r="N15" s="40"/>
      <c r="O15" s="40"/>
      <c r="P15" s="40"/>
      <c r="Q15" s="56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/>
    </row>
    <row r="16" spans="1:28" x14ac:dyDescent="0.2">
      <c r="A16" s="12"/>
      <c r="B16" s="9"/>
      <c r="C16" s="9"/>
      <c r="D16" s="54"/>
      <c r="E16" s="55"/>
      <c r="F16" s="55"/>
      <c r="G16" s="55"/>
      <c r="H16" s="55"/>
      <c r="I16" s="55"/>
      <c r="J16" s="55"/>
      <c r="K16" s="40"/>
      <c r="L16" s="40"/>
      <c r="M16" s="40"/>
      <c r="N16" s="40"/>
      <c r="O16" s="40"/>
      <c r="P16" s="40"/>
      <c r="Q16" s="5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x14ac:dyDescent="0.2">
      <c r="A17" s="12" t="s">
        <v>36</v>
      </c>
      <c r="B17" s="9"/>
      <c r="C17" s="9"/>
      <c r="D17" s="54"/>
      <c r="E17" s="55"/>
      <c r="F17" s="55"/>
      <c r="G17" s="55"/>
      <c r="H17" s="55"/>
      <c r="I17" s="55"/>
      <c r="J17" s="55"/>
      <c r="K17" s="40"/>
      <c r="L17" s="40"/>
      <c r="M17" s="40"/>
      <c r="N17" s="40"/>
      <c r="O17" s="40"/>
      <c r="P17" s="40"/>
      <c r="Q17" s="56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1"/>
    </row>
    <row r="18" spans="1:28" x14ac:dyDescent="0.2">
      <c r="A18" s="19"/>
      <c r="B18" s="20" t="s">
        <v>37</v>
      </c>
      <c r="C18" s="20"/>
      <c r="D18" s="57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42">
        <f t="shared" ref="K18:R18" si="4">SUM(K4:K10)-SUM(K13:K15)+J18</f>
        <v>0.13720000000103028</v>
      </c>
      <c r="L18" s="42">
        <f t="shared" si="4"/>
        <v>0.27679999999782012</v>
      </c>
      <c r="M18" s="42">
        <f t="shared" si="4"/>
        <v>0.43919999999707215</v>
      </c>
      <c r="N18" s="42">
        <f t="shared" si="4"/>
        <v>0.61559999999553838</v>
      </c>
      <c r="O18" s="42">
        <f t="shared" si="4"/>
        <v>0.80759999999463616</v>
      </c>
      <c r="P18" s="42">
        <f t="shared" si="4"/>
        <v>1.0066338747510599</v>
      </c>
      <c r="Q18" s="59">
        <f t="shared" si="4"/>
        <v>40001.16857874085</v>
      </c>
      <c r="R18" s="42">
        <f t="shared" si="4"/>
        <v>40204.785483633939</v>
      </c>
      <c r="S18" s="42">
        <f t="shared" ref="S18:AB18" si="5">SUM(S4:S7)-SUM(S13:S15)+R18</f>
        <v>30336.127756361209</v>
      </c>
      <c r="T18" s="42">
        <f t="shared" si="5"/>
        <v>21416.232301815755</v>
      </c>
      <c r="U18" s="42">
        <f t="shared" si="5"/>
        <v>12573.197801815753</v>
      </c>
      <c r="V18" s="42">
        <f t="shared" si="5"/>
        <v>3565.767801815753</v>
      </c>
      <c r="W18" s="42">
        <f t="shared" si="5"/>
        <v>-4947.9425981842469</v>
      </c>
      <c r="X18" s="42">
        <f t="shared" si="5"/>
        <v>-14510.577798184248</v>
      </c>
      <c r="Y18" s="42">
        <f t="shared" si="5"/>
        <v>-22768.155398184248</v>
      </c>
      <c r="Z18" s="42">
        <f t="shared" si="5"/>
        <v>-30769.600198184249</v>
      </c>
      <c r="AA18" s="42">
        <f t="shared" si="5"/>
        <v>-38642.978598184251</v>
      </c>
      <c r="AB18" s="43">
        <f t="shared" si="5"/>
        <v>-46313.345416366072</v>
      </c>
    </row>
    <row r="20" spans="1:28" x14ac:dyDescent="0.2">
      <c r="A20" t="s">
        <v>52</v>
      </c>
      <c r="J20" s="30">
        <v>66766</v>
      </c>
      <c r="K20" s="31">
        <f t="shared" ref="K20:AB20" si="6">J20-K4</f>
        <v>57535.46</v>
      </c>
      <c r="L20" s="31">
        <f t="shared" si="6"/>
        <v>48724.49</v>
      </c>
      <c r="M20" s="31">
        <f t="shared" si="6"/>
        <v>40118.43</v>
      </c>
      <c r="N20" s="31">
        <f t="shared" si="6"/>
        <v>31317.22</v>
      </c>
      <c r="O20" s="31">
        <f t="shared" si="6"/>
        <v>23413.690000000002</v>
      </c>
      <c r="P20" s="31">
        <f t="shared" si="6"/>
        <v>15277.400000000001</v>
      </c>
      <c r="Q20" s="31">
        <f t="shared" si="6"/>
        <v>7128.0100000000011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si="6"/>
        <v>0</v>
      </c>
      <c r="AA20" s="31">
        <f t="shared" si="6"/>
        <v>0</v>
      </c>
      <c r="AB20" s="31">
        <f t="shared" si="6"/>
        <v>0</v>
      </c>
    </row>
    <row r="21" spans="1:28" x14ac:dyDescent="0.2">
      <c r="A21" t="s">
        <v>102</v>
      </c>
      <c r="J21" s="31">
        <f>83458-J20</f>
        <v>16692</v>
      </c>
      <c r="K21" s="31">
        <f t="shared" ref="K21:AB21" si="7">J21-K5</f>
        <v>14384.369999999999</v>
      </c>
      <c r="L21" s="31">
        <f t="shared" si="7"/>
        <v>12181.63</v>
      </c>
      <c r="M21" s="31">
        <f t="shared" si="7"/>
        <v>10030.109999999999</v>
      </c>
      <c r="N21" s="31">
        <f t="shared" si="7"/>
        <v>7829.8099999999986</v>
      </c>
      <c r="O21" s="31">
        <f t="shared" si="7"/>
        <v>5853.9299999999985</v>
      </c>
      <c r="P21" s="31">
        <f t="shared" si="7"/>
        <v>3819.8599999999988</v>
      </c>
      <c r="Q21" s="31">
        <f t="shared" si="7"/>
        <v>1782.5099999999989</v>
      </c>
      <c r="R21" s="31">
        <f t="shared" si="7"/>
        <v>0</v>
      </c>
      <c r="S21" s="31">
        <f t="shared" si="7"/>
        <v>0</v>
      </c>
      <c r="T21" s="31">
        <f t="shared" si="7"/>
        <v>0</v>
      </c>
      <c r="U21" s="31">
        <f t="shared" si="7"/>
        <v>0</v>
      </c>
      <c r="V21" s="31">
        <f t="shared" si="7"/>
        <v>0</v>
      </c>
      <c r="W21" s="31">
        <f t="shared" si="7"/>
        <v>0</v>
      </c>
      <c r="X21" s="31">
        <f t="shared" si="7"/>
        <v>0</v>
      </c>
      <c r="Y21" s="31">
        <f t="shared" si="7"/>
        <v>0</v>
      </c>
      <c r="Z21" s="31">
        <f t="shared" si="7"/>
        <v>0</v>
      </c>
      <c r="AA21" s="31">
        <f t="shared" si="7"/>
        <v>0</v>
      </c>
      <c r="AB21" s="31">
        <f t="shared" si="7"/>
        <v>0</v>
      </c>
    </row>
    <row r="24" spans="1:28" x14ac:dyDescent="0.2">
      <c r="A24" t="s">
        <v>61</v>
      </c>
    </row>
    <row r="25" spans="1:28" x14ac:dyDescent="0.2">
      <c r="B25" t="s">
        <v>65</v>
      </c>
    </row>
    <row r="26" spans="1:28" x14ac:dyDescent="0.2">
      <c r="B26" t="s">
        <v>62</v>
      </c>
    </row>
    <row r="27" spans="1:28" x14ac:dyDescent="0.2">
      <c r="B27" t="s">
        <v>63</v>
      </c>
    </row>
    <row r="28" spans="1:28" x14ac:dyDescent="0.2">
      <c r="B28" t="s">
        <v>64</v>
      </c>
    </row>
    <row r="30" spans="1:28" x14ac:dyDescent="0.2">
      <c r="A30" t="s">
        <v>70</v>
      </c>
    </row>
    <row r="31" spans="1:28" x14ac:dyDescent="0.2">
      <c r="B31" t="s">
        <v>71</v>
      </c>
      <c r="E31" s="30">
        <v>11000</v>
      </c>
      <c r="F31" t="s">
        <v>72</v>
      </c>
    </row>
    <row r="32" spans="1:28" x14ac:dyDescent="0.2">
      <c r="F32" t="s">
        <v>73</v>
      </c>
    </row>
  </sheetData>
  <mergeCells count="2">
    <mergeCell ref="E1:P1"/>
    <mergeCell ref="Q1:A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AB24"/>
  <sheetViews>
    <sheetView workbookViewId="0">
      <selection activeCell="R16" sqref="R16"/>
    </sheetView>
  </sheetViews>
  <sheetFormatPr baseColWidth="10" defaultColWidth="8.83203125" defaultRowHeight="15" x14ac:dyDescent="0.2"/>
  <cols>
    <col min="1" max="1" width="8" customWidth="1"/>
    <col min="3" max="3" width="12.5" bestFit="1" customWidth="1"/>
    <col min="4" max="28" width="11.5" bestFit="1" customWidth="1"/>
  </cols>
  <sheetData>
    <row r="1" spans="1:28" x14ac:dyDescent="0.2">
      <c r="A1" s="10"/>
      <c r="B1" s="10"/>
      <c r="C1" s="11"/>
      <c r="D1" s="21">
        <v>2014</v>
      </c>
      <c r="E1" s="182">
        <v>2015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>
        <v>2016</v>
      </c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4"/>
    </row>
    <row r="2" spans="1:28" x14ac:dyDescent="0.2">
      <c r="A2" s="12"/>
      <c r="B2" s="12"/>
      <c r="C2" s="9"/>
      <c r="D2" s="22" t="s">
        <v>49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20</v>
      </c>
      <c r="J2" s="13" t="s">
        <v>43</v>
      </c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25" t="s">
        <v>39</v>
      </c>
      <c r="R2" s="13" t="s">
        <v>40</v>
      </c>
      <c r="S2" s="13" t="s">
        <v>41</v>
      </c>
      <c r="T2" s="13" t="s">
        <v>42</v>
      </c>
      <c r="U2" s="13" t="s">
        <v>20</v>
      </c>
      <c r="V2" s="13" t="s">
        <v>43</v>
      </c>
      <c r="W2" s="13" t="s">
        <v>44</v>
      </c>
      <c r="X2" s="13" t="s">
        <v>45</v>
      </c>
      <c r="Y2" s="13" t="s">
        <v>46</v>
      </c>
      <c r="Z2" s="13" t="s">
        <v>47</v>
      </c>
      <c r="AA2" s="13" t="s">
        <v>48</v>
      </c>
      <c r="AB2" s="14" t="s">
        <v>49</v>
      </c>
    </row>
    <row r="3" spans="1:28" x14ac:dyDescent="0.2">
      <c r="A3" s="12" t="s">
        <v>29</v>
      </c>
      <c r="B3" s="12"/>
      <c r="C3" s="9" t="s">
        <v>50</v>
      </c>
      <c r="D3" s="60">
        <v>22</v>
      </c>
      <c r="E3" s="40">
        <v>21</v>
      </c>
      <c r="F3" s="40">
        <v>20</v>
      </c>
      <c r="G3" s="40">
        <v>22</v>
      </c>
      <c r="H3" s="40">
        <v>22</v>
      </c>
      <c r="I3" s="40">
        <v>20</v>
      </c>
      <c r="J3" s="40">
        <v>22</v>
      </c>
      <c r="K3" s="40">
        <v>22</v>
      </c>
      <c r="L3" s="40">
        <v>21</v>
      </c>
      <c r="M3" s="40">
        <v>21</v>
      </c>
      <c r="N3" s="40">
        <v>22</v>
      </c>
      <c r="O3" s="40">
        <v>20</v>
      </c>
      <c r="P3" s="40">
        <v>21</v>
      </c>
      <c r="Q3" s="56">
        <v>20</v>
      </c>
      <c r="R3" s="40">
        <v>21</v>
      </c>
      <c r="S3" s="40">
        <v>23</v>
      </c>
      <c r="T3" s="40">
        <v>21</v>
      </c>
      <c r="U3" s="40">
        <v>21</v>
      </c>
      <c r="V3" s="40">
        <v>22</v>
      </c>
      <c r="W3" s="40">
        <v>21</v>
      </c>
      <c r="X3" s="40">
        <v>23</v>
      </c>
      <c r="Y3" s="40">
        <v>21</v>
      </c>
      <c r="Z3" s="40">
        <v>21</v>
      </c>
      <c r="AA3" s="40">
        <v>21</v>
      </c>
      <c r="AB3" s="41">
        <v>21</v>
      </c>
    </row>
    <row r="4" spans="1:28" x14ac:dyDescent="0.2">
      <c r="A4" s="12"/>
      <c r="B4" s="12" t="s">
        <v>30</v>
      </c>
      <c r="C4" s="9"/>
      <c r="D4" s="45">
        <v>8523.74</v>
      </c>
      <c r="E4" s="46">
        <v>8556.86</v>
      </c>
      <c r="F4" s="46">
        <f t="shared" ref="F4:K4" si="0">ROUND(0.8*(F10-F6),2)</f>
        <v>8538.69</v>
      </c>
      <c r="G4" s="46">
        <f t="shared" si="0"/>
        <v>9464.7099999999991</v>
      </c>
      <c r="H4" s="46">
        <f t="shared" si="0"/>
        <v>9570.9599999999991</v>
      </c>
      <c r="I4" s="46">
        <f t="shared" si="0"/>
        <v>8642.31</v>
      </c>
      <c r="J4" s="46">
        <f t="shared" si="0"/>
        <v>9205.94</v>
      </c>
      <c r="K4" s="39">
        <f t="shared" si="0"/>
        <v>9230.5400000000009</v>
      </c>
      <c r="L4" s="39">
        <f>ROUND(0.8*(L10-L6),2)</f>
        <v>8810.9699999999993</v>
      </c>
      <c r="M4" s="39">
        <f>ROUND(0.8*(M10-M6),2)</f>
        <v>8606.06</v>
      </c>
      <c r="N4" s="39">
        <f>ROUND(0.8*(N10-N6),2)</f>
        <v>8801.2099999999991</v>
      </c>
      <c r="O4" s="39">
        <f>ROUND(0.8*(O10-O6),2)</f>
        <v>7903.53</v>
      </c>
      <c r="P4" s="39">
        <f>ROUND(0.8*(P10-P6),2)</f>
        <v>8136.29</v>
      </c>
      <c r="Q4" s="47">
        <f>IF(P17&gt;(ROUND(0.8*(Q10-Q6),2)),(ROUND(0.8*(Q10-Q6),2)),P17)</f>
        <v>6197.91</v>
      </c>
      <c r="R4" s="39">
        <f>IF(Q17&gt;(ROUND(0.8*(R10-R6),2)),(ROUND(0.8*(R10-R6),2)),Q17)</f>
        <v>6916.56</v>
      </c>
      <c r="S4" s="39">
        <f t="shared" ref="S4:AA4" si="1">IF(R17&gt;(ROUND(0.8*(S10-S6),2)),(ROUND(0.8*(S10-S6),2)),R17)</f>
        <v>2162.9300000000012</v>
      </c>
      <c r="T4" s="39">
        <f t="shared" si="1"/>
        <v>0</v>
      </c>
      <c r="U4" s="39">
        <f t="shared" si="1"/>
        <v>0</v>
      </c>
      <c r="V4" s="39">
        <f t="shared" si="1"/>
        <v>0</v>
      </c>
      <c r="W4" s="39">
        <f t="shared" si="1"/>
        <v>0</v>
      </c>
      <c r="X4" s="39">
        <f t="shared" si="1"/>
        <v>0</v>
      </c>
      <c r="Y4" s="39">
        <f t="shared" si="1"/>
        <v>0</v>
      </c>
      <c r="Z4" s="39">
        <f t="shared" si="1"/>
        <v>0</v>
      </c>
      <c r="AA4" s="39">
        <f t="shared" si="1"/>
        <v>0</v>
      </c>
      <c r="AB4" s="48">
        <f>IF(AA17&gt;(ROUND(0.8*(AB10-AB6),2)),(ROUND(0.8*(AB10-AB6),2)),AA17)</f>
        <v>0</v>
      </c>
    </row>
    <row r="5" spans="1:28" x14ac:dyDescent="0.2">
      <c r="A5" s="12"/>
      <c r="B5" s="12" t="s">
        <v>31</v>
      </c>
      <c r="C5" s="9"/>
      <c r="D5" s="45">
        <v>2130.9299999999998</v>
      </c>
      <c r="E5" s="46">
        <v>2139.2199999999998</v>
      </c>
      <c r="F5" s="46">
        <f t="shared" ref="F5:K5" si="2">ROUND(0.2*(F10-F6),2)</f>
        <v>2134.67</v>
      </c>
      <c r="G5" s="46">
        <f t="shared" si="2"/>
        <v>2366.1799999999998</v>
      </c>
      <c r="H5" s="46">
        <f t="shared" si="2"/>
        <v>2392.7399999999998</v>
      </c>
      <c r="I5" s="46">
        <f t="shared" si="2"/>
        <v>2160.58</v>
      </c>
      <c r="J5" s="46">
        <f t="shared" si="2"/>
        <v>2301.4899999999998</v>
      </c>
      <c r="K5" s="39">
        <f t="shared" si="2"/>
        <v>2307.63</v>
      </c>
      <c r="L5" s="39">
        <f>ROUND(0.2*(L10-L6),2)</f>
        <v>2202.7399999999998</v>
      </c>
      <c r="M5" s="39">
        <f>ROUND(0.2*(M10-M6),2)</f>
        <v>2151.52</v>
      </c>
      <c r="N5" s="39">
        <f>ROUND(0.2*(N10-N6),2)</f>
        <v>2200.3000000000002</v>
      </c>
      <c r="O5" s="39">
        <f>ROUND(0.2*(O10-O6),2)</f>
        <v>1975.88</v>
      </c>
      <c r="P5" s="39">
        <f>ROUND(0.2*(P10-P6),2)</f>
        <v>2034.07</v>
      </c>
      <c r="Q5" s="47">
        <f>IF(P18&gt;(ROUND(0.2*(Q10-Q6),2)),(ROUND(0.2*(Q10-Q6),2)),P18)</f>
        <v>1549.48</v>
      </c>
      <c r="R5" s="39">
        <f>IF(Q18&gt;(ROUND(0.2*(R10-R6),2)),(ROUND(0.2*(R10-R6),2)),Q18)</f>
        <v>1729.14</v>
      </c>
      <c r="S5" s="39">
        <f t="shared" ref="S5:AB5" si="3">IF(R18&gt;(ROUND(0.2*(S10-S6),2)),(ROUND(0.2*(S10-S6),2)),R18)</f>
        <v>541.23999999999864</v>
      </c>
      <c r="T5" s="39">
        <f t="shared" si="3"/>
        <v>0</v>
      </c>
      <c r="U5" s="39">
        <f t="shared" si="3"/>
        <v>0</v>
      </c>
      <c r="V5" s="39">
        <f t="shared" si="3"/>
        <v>0</v>
      </c>
      <c r="W5" s="39">
        <f t="shared" si="3"/>
        <v>0</v>
      </c>
      <c r="X5" s="39">
        <f t="shared" si="3"/>
        <v>0</v>
      </c>
      <c r="Y5" s="39">
        <f t="shared" si="3"/>
        <v>0</v>
      </c>
      <c r="Z5" s="39">
        <f t="shared" si="3"/>
        <v>0</v>
      </c>
      <c r="AA5" s="39">
        <f t="shared" si="3"/>
        <v>0</v>
      </c>
      <c r="AB5" s="48">
        <f t="shared" si="3"/>
        <v>0</v>
      </c>
    </row>
    <row r="6" spans="1:28" x14ac:dyDescent="0.2">
      <c r="A6" s="12"/>
      <c r="B6" s="12" t="s">
        <v>38</v>
      </c>
      <c r="C6" s="9"/>
      <c r="D6" s="45">
        <v>2761.81</v>
      </c>
      <c r="E6" s="46">
        <v>2110.56</v>
      </c>
      <c r="F6" s="46">
        <v>1523.44</v>
      </c>
      <c r="G6" s="46">
        <v>1585.59</v>
      </c>
      <c r="H6" s="46">
        <v>1452.78</v>
      </c>
      <c r="I6" s="46">
        <v>1393.91</v>
      </c>
      <c r="J6" s="46">
        <v>1909.05</v>
      </c>
      <c r="K6" s="39">
        <f t="shared" ref="K6:P6" si="4">K7*K10</f>
        <v>1878.3072000000004</v>
      </c>
      <c r="L6" s="39">
        <f t="shared" si="4"/>
        <v>1792.9296000000004</v>
      </c>
      <c r="M6" s="39">
        <f t="shared" si="4"/>
        <v>2049.0624000000003</v>
      </c>
      <c r="N6" s="39">
        <f t="shared" si="4"/>
        <v>2414.9664000000002</v>
      </c>
      <c r="O6" s="39">
        <f t="shared" si="4"/>
        <v>2317.3920000000003</v>
      </c>
      <c r="P6" s="39">
        <f t="shared" si="4"/>
        <v>2636.2731818181819</v>
      </c>
      <c r="Q6" s="47">
        <f>Q7*(Q10/(1-$B$21))</f>
        <v>2010.0571428571429</v>
      </c>
      <c r="R6" s="39">
        <f>R7*(R10/(1-$B$21))</f>
        <v>1599.6120000000003</v>
      </c>
      <c r="S6" s="39">
        <f t="shared" ref="S6:AB6" si="5">S7*(S10/(1-$B$21))</f>
        <v>1657.6622727272729</v>
      </c>
      <c r="T6" s="39">
        <f t="shared" si="5"/>
        <v>1386.7445454545457</v>
      </c>
      <c r="U6" s="39">
        <f t="shared" si="5"/>
        <v>1463.6055000000003</v>
      </c>
      <c r="V6" s="39">
        <f t="shared" si="5"/>
        <v>1909.0500000000004</v>
      </c>
      <c r="W6" s="39">
        <f t="shared" si="5"/>
        <v>1792.9296000000004</v>
      </c>
      <c r="X6" s="39">
        <f t="shared" si="5"/>
        <v>1963.6848000000005</v>
      </c>
      <c r="Y6" s="39">
        <f t="shared" si="5"/>
        <v>2049.0624000000003</v>
      </c>
      <c r="Z6" s="39">
        <f t="shared" si="5"/>
        <v>2305.1952000000001</v>
      </c>
      <c r="AA6" s="39">
        <f t="shared" si="5"/>
        <v>2433.2616000000003</v>
      </c>
      <c r="AB6" s="48">
        <f t="shared" si="5"/>
        <v>2636.2731818181819</v>
      </c>
    </row>
    <row r="7" spans="1:28" x14ac:dyDescent="0.2">
      <c r="A7" s="12"/>
      <c r="B7" s="12"/>
      <c r="C7" s="9" t="s">
        <v>51</v>
      </c>
      <c r="D7" s="24">
        <v>0.20585205657519706</v>
      </c>
      <c r="E7" s="16">
        <v>0.16480200895785313</v>
      </c>
      <c r="F7" s="16">
        <v>0.12490489308671128</v>
      </c>
      <c r="G7" s="16">
        <v>0.11818226539300919</v>
      </c>
      <c r="H7" s="16">
        <v>0.1082832456799399</v>
      </c>
      <c r="I7" s="16">
        <v>0.11428489439853078</v>
      </c>
      <c r="J7" s="16">
        <v>0.14229142070051162</v>
      </c>
      <c r="K7" s="17">
        <v>0.14000000000000001</v>
      </c>
      <c r="L7" s="17">
        <v>0.14000000000000001</v>
      </c>
      <c r="M7" s="17">
        <v>0.16</v>
      </c>
      <c r="N7" s="17">
        <v>0.18</v>
      </c>
      <c r="O7" s="17">
        <v>0.19</v>
      </c>
      <c r="P7" s="17">
        <v>0.20585205657519706</v>
      </c>
      <c r="Q7" s="26">
        <v>0.16480200895785313</v>
      </c>
      <c r="R7" s="17">
        <v>0.12490489308671128</v>
      </c>
      <c r="S7" s="17">
        <v>0.11818226539300919</v>
      </c>
      <c r="T7" s="17">
        <v>0.1082832456799399</v>
      </c>
      <c r="U7" s="17">
        <v>0.11428489439853078</v>
      </c>
      <c r="V7" s="17">
        <v>0.14229142070051162</v>
      </c>
      <c r="W7" s="17">
        <v>0.14000000000000001</v>
      </c>
      <c r="X7" s="17">
        <v>0.14000000000000001</v>
      </c>
      <c r="Y7" s="17">
        <v>0.16</v>
      </c>
      <c r="Z7" s="17">
        <v>0.18</v>
      </c>
      <c r="AA7" s="17">
        <v>0.19</v>
      </c>
      <c r="AB7" s="18">
        <v>0.20585205657519706</v>
      </c>
    </row>
    <row r="8" spans="1:28" x14ac:dyDescent="0.2">
      <c r="A8" s="12"/>
      <c r="B8" s="12"/>
      <c r="C8" s="9"/>
      <c r="D8" s="54"/>
      <c r="E8" s="55"/>
      <c r="F8" s="55"/>
      <c r="G8" s="55"/>
      <c r="H8" s="55"/>
      <c r="I8" s="55"/>
      <c r="J8" s="55"/>
      <c r="K8" s="40"/>
      <c r="L8" s="40"/>
      <c r="M8" s="40"/>
      <c r="N8" s="40"/>
      <c r="O8" s="40"/>
      <c r="P8" s="40"/>
      <c r="Q8" s="56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x14ac:dyDescent="0.2">
      <c r="A9" s="12" t="s">
        <v>32</v>
      </c>
      <c r="B9" s="12"/>
      <c r="C9" s="9"/>
      <c r="D9" s="54"/>
      <c r="E9" s="55"/>
      <c r="F9" s="55"/>
      <c r="G9" s="55"/>
      <c r="H9" s="55"/>
      <c r="I9" s="55"/>
      <c r="J9" s="55"/>
      <c r="K9" s="40"/>
      <c r="L9" s="40"/>
      <c r="M9" s="40"/>
      <c r="N9" s="40"/>
      <c r="O9" s="40"/>
      <c r="P9" s="40"/>
      <c r="Q9" s="56"/>
      <c r="R9" s="40"/>
      <c r="S9" s="40"/>
      <c r="T9" s="40"/>
      <c r="U9" s="40"/>
      <c r="V9" s="40"/>
      <c r="W9" s="40"/>
      <c r="X9" s="40"/>
      <c r="Y9" s="40"/>
      <c r="Z9" s="40"/>
      <c r="AA9" s="40"/>
      <c r="AB9" s="41"/>
    </row>
    <row r="10" spans="1:28" x14ac:dyDescent="0.2">
      <c r="A10" s="12"/>
      <c r="B10" s="12" t="s">
        <v>33</v>
      </c>
      <c r="C10" s="9"/>
      <c r="D10" s="45">
        <f>SUM(D4:D6)</f>
        <v>13416.48</v>
      </c>
      <c r="E10" s="46">
        <f>SUM(E4:E6)</f>
        <v>12806.64</v>
      </c>
      <c r="F10" s="46">
        <f>3049.2*4</f>
        <v>12196.8</v>
      </c>
      <c r="G10" s="46">
        <f>3049.2*4+1219.68</f>
        <v>13416.48</v>
      </c>
      <c r="H10" s="46">
        <f>3049.2*3+1829.52+2439.36</f>
        <v>13416.48</v>
      </c>
      <c r="I10" s="46">
        <f>3049.2*3+609.84+2439.36</f>
        <v>12196.8</v>
      </c>
      <c r="J10" s="46">
        <f>3049.2*4+1219.68</f>
        <v>13416.48</v>
      </c>
      <c r="K10" s="39">
        <f t="shared" ref="K10:P10" si="6">609.84*K3</f>
        <v>13416.480000000001</v>
      </c>
      <c r="L10" s="39">
        <f t="shared" si="6"/>
        <v>12806.640000000001</v>
      </c>
      <c r="M10" s="39">
        <f t="shared" si="6"/>
        <v>12806.640000000001</v>
      </c>
      <c r="N10" s="39">
        <f t="shared" si="6"/>
        <v>13416.480000000001</v>
      </c>
      <c r="O10" s="39">
        <f t="shared" si="6"/>
        <v>12196.800000000001</v>
      </c>
      <c r="P10" s="39">
        <f t="shared" si="6"/>
        <v>12806.640000000001</v>
      </c>
      <c r="Q10" s="47">
        <f>609.84*Q3*(1-$B$21)</f>
        <v>9757.44</v>
      </c>
      <c r="R10" s="39">
        <f>609.84*R3*(1-$B$21)</f>
        <v>10245.312000000002</v>
      </c>
      <c r="S10" s="39">
        <f t="shared" ref="S10:AB10" si="7">609.84*S3*(1-$B$21)</f>
        <v>11221.056000000002</v>
      </c>
      <c r="T10" s="39">
        <f t="shared" si="7"/>
        <v>10245.312000000002</v>
      </c>
      <c r="U10" s="39">
        <f t="shared" si="7"/>
        <v>10245.312000000002</v>
      </c>
      <c r="V10" s="39">
        <f t="shared" si="7"/>
        <v>10733.184000000001</v>
      </c>
      <c r="W10" s="39">
        <f t="shared" si="7"/>
        <v>10245.312000000002</v>
      </c>
      <c r="X10" s="39">
        <f t="shared" si="7"/>
        <v>11221.056000000002</v>
      </c>
      <c r="Y10" s="39">
        <f t="shared" si="7"/>
        <v>10245.312000000002</v>
      </c>
      <c r="Z10" s="39">
        <f t="shared" si="7"/>
        <v>10245.312000000002</v>
      </c>
      <c r="AA10" s="39">
        <f t="shared" si="7"/>
        <v>10245.312000000002</v>
      </c>
      <c r="AB10" s="48">
        <f t="shared" si="7"/>
        <v>10245.312000000002</v>
      </c>
    </row>
    <row r="11" spans="1:28" x14ac:dyDescent="0.2">
      <c r="A11" s="12"/>
      <c r="B11" s="12" t="s">
        <v>34</v>
      </c>
      <c r="C11" s="9"/>
      <c r="D11" s="54"/>
      <c r="E11" s="55"/>
      <c r="F11" s="55"/>
      <c r="G11" s="55"/>
      <c r="H11" s="55"/>
      <c r="I11" s="55"/>
      <c r="J11" s="55"/>
      <c r="K11" s="40"/>
      <c r="L11" s="40"/>
      <c r="M11" s="40"/>
      <c r="N11" s="40"/>
      <c r="O11" s="40"/>
      <c r="P11" s="40"/>
      <c r="Q11" s="56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</row>
    <row r="12" spans="1:28" x14ac:dyDescent="0.2">
      <c r="A12" s="12"/>
      <c r="B12" s="12" t="s">
        <v>35</v>
      </c>
      <c r="C12" s="9"/>
      <c r="D12" s="54"/>
      <c r="E12" s="55"/>
      <c r="F12" s="55"/>
      <c r="G12" s="55"/>
      <c r="H12" s="55"/>
      <c r="I12" s="55"/>
      <c r="J12" s="55"/>
      <c r="K12" s="40"/>
      <c r="L12" s="40"/>
      <c r="M12" s="40"/>
      <c r="N12" s="40"/>
      <c r="O12" s="40"/>
      <c r="P12" s="40"/>
      <c r="Q12" s="56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x14ac:dyDescent="0.2">
      <c r="A13" s="12"/>
      <c r="B13" s="12"/>
      <c r="C13" s="9"/>
      <c r="D13" s="54"/>
      <c r="E13" s="55"/>
      <c r="F13" s="55"/>
      <c r="G13" s="55"/>
      <c r="H13" s="55"/>
      <c r="I13" s="55"/>
      <c r="J13" s="55"/>
      <c r="K13" s="40"/>
      <c r="L13" s="40"/>
      <c r="M13" s="40"/>
      <c r="N13" s="40"/>
      <c r="O13" s="40"/>
      <c r="P13" s="40"/>
      <c r="Q13" s="56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</row>
    <row r="14" spans="1:28" x14ac:dyDescent="0.2">
      <c r="A14" s="12" t="s">
        <v>36</v>
      </c>
      <c r="B14" s="12"/>
      <c r="C14" s="9"/>
      <c r="D14" s="54"/>
      <c r="E14" s="55"/>
      <c r="F14" s="55"/>
      <c r="G14" s="55"/>
      <c r="H14" s="55"/>
      <c r="I14" s="55"/>
      <c r="J14" s="55"/>
      <c r="K14" s="40"/>
      <c r="L14" s="40"/>
      <c r="M14" s="40"/>
      <c r="N14" s="40"/>
      <c r="O14" s="40"/>
      <c r="P14" s="40"/>
      <c r="Q14" s="56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x14ac:dyDescent="0.2">
      <c r="A15" s="19"/>
      <c r="B15" s="19" t="s">
        <v>37</v>
      </c>
      <c r="C15" s="20"/>
      <c r="D15" s="57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42">
        <f>SUM(K4:K6)-SUM(K10:K12)+J15</f>
        <v>-2.7999999983876478E-3</v>
      </c>
      <c r="L15" s="42">
        <f>SUM(L4:L6)-SUM(L10:L12)+K15</f>
        <v>-3.2000000010157237E-3</v>
      </c>
      <c r="M15" s="42">
        <f t="shared" ref="M15:AB15" si="8">SUM(M4:M6)-SUM(M10:M12)+L15</f>
        <v>-8.0000000161817297E-4</v>
      </c>
      <c r="N15" s="42">
        <f t="shared" si="8"/>
        <v>-4.4000000034429831E-3</v>
      </c>
      <c r="O15" s="42">
        <f t="shared" si="8"/>
        <v>-2.4000000048545189E-3</v>
      </c>
      <c r="P15" s="42">
        <f t="shared" si="8"/>
        <v>-9.2181818235985702E-3</v>
      </c>
      <c r="Q15" s="59">
        <f t="shared" si="8"/>
        <v>-2.075324682664359E-3</v>
      </c>
      <c r="R15" s="42">
        <f t="shared" si="8"/>
        <v>-2.075324682664359E-3</v>
      </c>
      <c r="S15" s="42">
        <f t="shared" si="8"/>
        <v>-6859.2258025974115</v>
      </c>
      <c r="T15" s="42">
        <f t="shared" si="8"/>
        <v>-15717.793257142868</v>
      </c>
      <c r="U15" s="42">
        <f t="shared" si="8"/>
        <v>-24499.499757142868</v>
      </c>
      <c r="V15" s="42">
        <f t="shared" si="8"/>
        <v>-33323.633757142867</v>
      </c>
      <c r="W15" s="42">
        <f t="shared" si="8"/>
        <v>-41776.016157142869</v>
      </c>
      <c r="X15" s="42">
        <f t="shared" si="8"/>
        <v>-51033.38735714287</v>
      </c>
      <c r="Y15" s="42">
        <f t="shared" si="8"/>
        <v>-59229.636957142873</v>
      </c>
      <c r="Z15" s="42">
        <f t="shared" si="8"/>
        <v>-67169.753757142869</v>
      </c>
      <c r="AA15" s="42">
        <f t="shared" si="8"/>
        <v>-74981.804157142877</v>
      </c>
      <c r="AB15" s="43">
        <f t="shared" si="8"/>
        <v>-82590.842975324689</v>
      </c>
    </row>
    <row r="17" spans="1:28" x14ac:dyDescent="0.2">
      <c r="A17" t="s">
        <v>52</v>
      </c>
      <c r="J17" s="30">
        <v>66766</v>
      </c>
      <c r="K17" s="31">
        <f>J17-K4</f>
        <v>57535.46</v>
      </c>
      <c r="L17" s="31">
        <f t="shared" ref="L17:AB18" si="9">K17-L4</f>
        <v>48724.49</v>
      </c>
      <c r="M17" s="31">
        <f t="shared" si="9"/>
        <v>40118.43</v>
      </c>
      <c r="N17" s="31">
        <f t="shared" si="9"/>
        <v>31317.22</v>
      </c>
      <c r="O17" s="31">
        <f t="shared" si="9"/>
        <v>23413.690000000002</v>
      </c>
      <c r="P17" s="31">
        <f t="shared" si="9"/>
        <v>15277.400000000001</v>
      </c>
      <c r="Q17" s="31">
        <f t="shared" si="9"/>
        <v>9079.4900000000016</v>
      </c>
      <c r="R17" s="31">
        <f t="shared" si="9"/>
        <v>2162.9300000000012</v>
      </c>
      <c r="S17" s="31">
        <f t="shared" si="9"/>
        <v>0</v>
      </c>
      <c r="T17" s="31">
        <f t="shared" si="9"/>
        <v>0</v>
      </c>
      <c r="U17" s="31">
        <f t="shared" si="9"/>
        <v>0</v>
      </c>
      <c r="V17" s="31">
        <f t="shared" si="9"/>
        <v>0</v>
      </c>
      <c r="W17" s="31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9"/>
        <v>0</v>
      </c>
      <c r="AB17" s="31">
        <f t="shared" si="9"/>
        <v>0</v>
      </c>
    </row>
    <row r="18" spans="1:28" x14ac:dyDescent="0.2">
      <c r="A18" t="s">
        <v>53</v>
      </c>
      <c r="J18" s="31">
        <f>83458-J17</f>
        <v>16692</v>
      </c>
      <c r="K18" s="31">
        <f>J18-K5</f>
        <v>14384.369999999999</v>
      </c>
      <c r="L18" s="31">
        <f t="shared" si="9"/>
        <v>12181.63</v>
      </c>
      <c r="M18" s="31">
        <f t="shared" si="9"/>
        <v>10030.109999999999</v>
      </c>
      <c r="N18" s="31">
        <f t="shared" si="9"/>
        <v>7829.8099999999986</v>
      </c>
      <c r="O18" s="31">
        <f t="shared" si="9"/>
        <v>5853.9299999999985</v>
      </c>
      <c r="P18" s="31">
        <f t="shared" si="9"/>
        <v>3819.8599999999988</v>
      </c>
      <c r="Q18" s="31">
        <f t="shared" si="9"/>
        <v>2270.3799999999987</v>
      </c>
      <c r="R18" s="31">
        <f t="shared" si="9"/>
        <v>541.23999999999864</v>
      </c>
      <c r="S18" s="31">
        <f t="shared" si="9"/>
        <v>0</v>
      </c>
      <c r="T18" s="31">
        <f t="shared" si="9"/>
        <v>0</v>
      </c>
      <c r="U18" s="31">
        <f t="shared" si="9"/>
        <v>0</v>
      </c>
      <c r="V18" s="31">
        <f t="shared" si="9"/>
        <v>0</v>
      </c>
      <c r="W18" s="31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9"/>
        <v>0</v>
      </c>
      <c r="AB18" s="31">
        <f t="shared" si="9"/>
        <v>0</v>
      </c>
    </row>
    <row r="20" spans="1:28" x14ac:dyDescent="0.2">
      <c r="A20" t="s">
        <v>74</v>
      </c>
      <c r="C20" s="30"/>
    </row>
    <row r="21" spans="1:28" s="67" customFormat="1" x14ac:dyDescent="0.2">
      <c r="B21" s="68">
        <v>0.2</v>
      </c>
      <c r="C21" s="30" t="s">
        <v>75</v>
      </c>
    </row>
    <row r="22" spans="1:28" x14ac:dyDescent="0.2">
      <c r="C22" s="31"/>
    </row>
    <row r="23" spans="1:28" x14ac:dyDescent="0.2">
      <c r="C23" s="61"/>
    </row>
    <row r="24" spans="1:28" x14ac:dyDescent="0.2">
      <c r="B24" s="67" t="s">
        <v>76</v>
      </c>
      <c r="C24" s="69">
        <f>AB15</f>
        <v>-82590.842975324689</v>
      </c>
    </row>
  </sheetData>
  <mergeCells count="2">
    <mergeCell ref="E1:P1"/>
    <mergeCell ref="Q1:A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AB28"/>
  <sheetViews>
    <sheetView topLeftCell="J1" workbookViewId="0">
      <selection activeCell="S6" sqref="S6"/>
    </sheetView>
  </sheetViews>
  <sheetFormatPr baseColWidth="10" defaultColWidth="8.83203125" defaultRowHeight="15" x14ac:dyDescent="0.2"/>
  <cols>
    <col min="1" max="1" width="8" customWidth="1"/>
    <col min="3" max="3" width="12.5" bestFit="1" customWidth="1"/>
    <col min="4" max="28" width="11.5" bestFit="1" customWidth="1"/>
  </cols>
  <sheetData>
    <row r="1" spans="1:28" x14ac:dyDescent="0.2">
      <c r="A1" s="10"/>
      <c r="B1" s="10"/>
      <c r="C1" s="11"/>
      <c r="D1" s="21">
        <v>2014</v>
      </c>
      <c r="E1" s="182">
        <v>2015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>
        <v>2016</v>
      </c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4"/>
    </row>
    <row r="2" spans="1:28" x14ac:dyDescent="0.2">
      <c r="A2" s="12"/>
      <c r="B2" s="12"/>
      <c r="C2" s="9"/>
      <c r="D2" s="22" t="s">
        <v>49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20</v>
      </c>
      <c r="J2" s="13" t="s">
        <v>43</v>
      </c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25" t="s">
        <v>39</v>
      </c>
      <c r="R2" s="13" t="s">
        <v>40</v>
      </c>
      <c r="S2" s="13" t="s">
        <v>41</v>
      </c>
      <c r="T2" s="13" t="s">
        <v>42</v>
      </c>
      <c r="U2" s="13" t="s">
        <v>20</v>
      </c>
      <c r="V2" s="13" t="s">
        <v>43</v>
      </c>
      <c r="W2" s="13" t="s">
        <v>44</v>
      </c>
      <c r="X2" s="13" t="s">
        <v>45</v>
      </c>
      <c r="Y2" s="13" t="s">
        <v>46</v>
      </c>
      <c r="Z2" s="13" t="s">
        <v>47</v>
      </c>
      <c r="AA2" s="13" t="s">
        <v>48</v>
      </c>
      <c r="AB2" s="14" t="s">
        <v>49</v>
      </c>
    </row>
    <row r="3" spans="1:28" x14ac:dyDescent="0.2">
      <c r="A3" s="12" t="s">
        <v>29</v>
      </c>
      <c r="B3" s="12"/>
      <c r="C3" s="9" t="s">
        <v>50</v>
      </c>
      <c r="D3" s="60">
        <v>22</v>
      </c>
      <c r="E3" s="40">
        <v>21</v>
      </c>
      <c r="F3" s="40">
        <v>20</v>
      </c>
      <c r="G3" s="40">
        <v>22</v>
      </c>
      <c r="H3" s="40">
        <v>22</v>
      </c>
      <c r="I3" s="40">
        <v>20</v>
      </c>
      <c r="J3" s="40">
        <v>22</v>
      </c>
      <c r="K3" s="40">
        <v>22</v>
      </c>
      <c r="L3" s="40">
        <v>21</v>
      </c>
      <c r="M3" s="40">
        <v>21</v>
      </c>
      <c r="N3" s="40">
        <v>22</v>
      </c>
      <c r="O3" s="40">
        <v>20</v>
      </c>
      <c r="P3" s="40">
        <v>21</v>
      </c>
      <c r="Q3" s="56">
        <v>20</v>
      </c>
      <c r="R3" s="40">
        <v>21</v>
      </c>
      <c r="S3" s="40">
        <v>23</v>
      </c>
      <c r="T3" s="40">
        <v>21</v>
      </c>
      <c r="U3" s="40">
        <v>21</v>
      </c>
      <c r="V3" s="40">
        <v>22</v>
      </c>
      <c r="W3" s="40">
        <v>21</v>
      </c>
      <c r="X3" s="40">
        <v>23</v>
      </c>
      <c r="Y3" s="40">
        <v>21</v>
      </c>
      <c r="Z3" s="40">
        <v>21</v>
      </c>
      <c r="AA3" s="40">
        <v>21</v>
      </c>
      <c r="AB3" s="41">
        <v>21</v>
      </c>
    </row>
    <row r="4" spans="1:28" x14ac:dyDescent="0.2">
      <c r="A4" s="12"/>
      <c r="B4" s="12" t="s">
        <v>30</v>
      </c>
      <c r="C4" s="9"/>
      <c r="D4" s="45">
        <v>8523.74</v>
      </c>
      <c r="E4" s="46">
        <v>8556.86</v>
      </c>
      <c r="F4" s="46">
        <f t="shared" ref="F4:P4" si="0">ROUND(0.8*(F12-F7),2)</f>
        <v>8538.69</v>
      </c>
      <c r="G4" s="46">
        <f t="shared" si="0"/>
        <v>9464.7099999999991</v>
      </c>
      <c r="H4" s="46">
        <f t="shared" si="0"/>
        <v>9570.9599999999991</v>
      </c>
      <c r="I4" s="46">
        <f t="shared" si="0"/>
        <v>8642.31</v>
      </c>
      <c r="J4" s="46">
        <f t="shared" si="0"/>
        <v>9205.94</v>
      </c>
      <c r="K4" s="39">
        <f t="shared" si="0"/>
        <v>9230.5400000000009</v>
      </c>
      <c r="L4" s="39">
        <f t="shared" si="0"/>
        <v>8810.9699999999993</v>
      </c>
      <c r="M4" s="39">
        <f t="shared" si="0"/>
        <v>8606.06</v>
      </c>
      <c r="N4" s="39">
        <f t="shared" si="0"/>
        <v>8801.2099999999991</v>
      </c>
      <c r="O4" s="39">
        <f t="shared" si="0"/>
        <v>7903.53</v>
      </c>
      <c r="P4" s="39">
        <f t="shared" si="0"/>
        <v>8136.29</v>
      </c>
      <c r="Q4" s="47">
        <f t="shared" ref="Q4:AB4" si="1">IF(P19&gt;(ROUND(0.8*(Q12-Q7),2)),(ROUND(0.8*(Q12-Q7),2)),P19)</f>
        <v>6197.91</v>
      </c>
      <c r="R4" s="39">
        <f t="shared" si="1"/>
        <v>6916.56</v>
      </c>
      <c r="S4" s="39">
        <f t="shared" si="1"/>
        <v>2162.9300000000012</v>
      </c>
      <c r="T4" s="39">
        <f t="shared" si="1"/>
        <v>0</v>
      </c>
      <c r="U4" s="39">
        <f t="shared" si="1"/>
        <v>0</v>
      </c>
      <c r="V4" s="39">
        <f t="shared" si="1"/>
        <v>0</v>
      </c>
      <c r="W4" s="39">
        <f t="shared" si="1"/>
        <v>0</v>
      </c>
      <c r="X4" s="39">
        <f t="shared" si="1"/>
        <v>0</v>
      </c>
      <c r="Y4" s="39">
        <f t="shared" si="1"/>
        <v>0</v>
      </c>
      <c r="Z4" s="39">
        <f t="shared" si="1"/>
        <v>0</v>
      </c>
      <c r="AA4" s="39">
        <f t="shared" si="1"/>
        <v>0</v>
      </c>
      <c r="AB4" s="48">
        <f t="shared" si="1"/>
        <v>0</v>
      </c>
    </row>
    <row r="5" spans="1:28" x14ac:dyDescent="0.2">
      <c r="A5" s="12"/>
      <c r="B5" s="12" t="s">
        <v>31</v>
      </c>
      <c r="C5" s="9"/>
      <c r="D5" s="45">
        <v>2130.9299999999998</v>
      </c>
      <c r="E5" s="46">
        <v>2139.2199999999998</v>
      </c>
      <c r="F5" s="46">
        <f t="shared" ref="F5:R5" si="2">ROUND(0.2*(F12-F7),2)</f>
        <v>2134.67</v>
      </c>
      <c r="G5" s="46">
        <f t="shared" si="2"/>
        <v>2366.1799999999998</v>
      </c>
      <c r="H5" s="46">
        <f t="shared" si="2"/>
        <v>2392.7399999999998</v>
      </c>
      <c r="I5" s="46">
        <f t="shared" si="2"/>
        <v>2160.58</v>
      </c>
      <c r="J5" s="46">
        <f t="shared" si="2"/>
        <v>2301.4899999999998</v>
      </c>
      <c r="K5" s="39">
        <f t="shared" si="2"/>
        <v>2307.63</v>
      </c>
      <c r="L5" s="39">
        <f t="shared" si="2"/>
        <v>2202.7399999999998</v>
      </c>
      <c r="M5" s="39">
        <f t="shared" si="2"/>
        <v>2151.52</v>
      </c>
      <c r="N5" s="39">
        <f t="shared" si="2"/>
        <v>2200.3000000000002</v>
      </c>
      <c r="O5" s="39">
        <f t="shared" si="2"/>
        <v>1975.88</v>
      </c>
      <c r="P5" s="39">
        <f t="shared" si="2"/>
        <v>2034.07</v>
      </c>
      <c r="Q5" s="39">
        <f t="shared" si="2"/>
        <v>1549.48</v>
      </c>
      <c r="R5" s="39">
        <f t="shared" si="2"/>
        <v>1729.14</v>
      </c>
      <c r="S5" s="47">
        <f>R20</f>
        <v>541.23999999999864</v>
      </c>
      <c r="T5" s="39">
        <v>0</v>
      </c>
      <c r="U5" s="47">
        <v>0</v>
      </c>
      <c r="V5" s="39">
        <v>0</v>
      </c>
      <c r="W5" s="47">
        <v>0</v>
      </c>
      <c r="X5" s="39">
        <v>0</v>
      </c>
      <c r="Y5" s="47">
        <v>0</v>
      </c>
      <c r="Z5" s="39">
        <v>0</v>
      </c>
      <c r="AA5" s="47">
        <v>0</v>
      </c>
      <c r="AB5" s="39">
        <v>0</v>
      </c>
    </row>
    <row r="6" spans="1:28" x14ac:dyDescent="0.2">
      <c r="A6" s="12"/>
      <c r="B6" s="9" t="s">
        <v>101</v>
      </c>
      <c r="C6" s="9"/>
      <c r="D6" s="45"/>
      <c r="E6" s="46"/>
      <c r="F6" s="46"/>
      <c r="G6" s="46"/>
      <c r="H6" s="46"/>
      <c r="I6" s="46"/>
      <c r="J6" s="46"/>
      <c r="K6" s="39"/>
      <c r="L6" s="39"/>
      <c r="M6" s="39"/>
      <c r="N6" s="39"/>
      <c r="O6" s="39"/>
      <c r="P6" s="39"/>
      <c r="Q6" s="47">
        <v>2500</v>
      </c>
      <c r="R6" s="39">
        <v>2500</v>
      </c>
      <c r="S6" s="39">
        <v>2500</v>
      </c>
      <c r="T6" s="39">
        <v>2500</v>
      </c>
      <c r="U6" s="39">
        <v>2500</v>
      </c>
      <c r="V6" s="39">
        <v>2500</v>
      </c>
      <c r="W6" s="39">
        <v>2500</v>
      </c>
      <c r="X6" s="39">
        <v>2500</v>
      </c>
      <c r="Y6" s="39">
        <v>2500</v>
      </c>
      <c r="Z6" s="39">
        <v>2500</v>
      </c>
      <c r="AA6" s="39">
        <v>2500</v>
      </c>
      <c r="AB6" s="48">
        <v>2500</v>
      </c>
    </row>
    <row r="7" spans="1:28" x14ac:dyDescent="0.2">
      <c r="A7" s="12"/>
      <c r="B7" s="12" t="s">
        <v>38</v>
      </c>
      <c r="C7" s="9"/>
      <c r="D7" s="45">
        <v>2761.81</v>
      </c>
      <c r="E7" s="46">
        <v>2110.56</v>
      </c>
      <c r="F7" s="46">
        <v>1523.44</v>
      </c>
      <c r="G7" s="46">
        <v>1585.59</v>
      </c>
      <c r="H7" s="46">
        <v>1452.78</v>
      </c>
      <c r="I7" s="46">
        <v>1393.91</v>
      </c>
      <c r="J7" s="46">
        <v>1909.05</v>
      </c>
      <c r="K7" s="39">
        <f t="shared" ref="K7:P7" si="3">K9*K12</f>
        <v>1878.3072000000004</v>
      </c>
      <c r="L7" s="39">
        <f t="shared" si="3"/>
        <v>1792.9296000000004</v>
      </c>
      <c r="M7" s="39">
        <f t="shared" si="3"/>
        <v>2049.0624000000003</v>
      </c>
      <c r="N7" s="39">
        <f t="shared" si="3"/>
        <v>2414.9664000000002</v>
      </c>
      <c r="O7" s="39">
        <f t="shared" si="3"/>
        <v>2317.3920000000003</v>
      </c>
      <c r="P7" s="39">
        <f t="shared" si="3"/>
        <v>2636.2731818181819</v>
      </c>
      <c r="Q7" s="47">
        <f>Q9*(Q12/(1-$B$23))</f>
        <v>2010.0571428571429</v>
      </c>
      <c r="R7" s="39">
        <f>R9*(R12/(1-$B$23))</f>
        <v>1599.6120000000003</v>
      </c>
      <c r="S7" s="39">
        <f t="shared" ref="S7:AB7" si="4">S9*(S12/(1-$B$23))</f>
        <v>1657.6622727272729</v>
      </c>
      <c r="T7" s="39">
        <f t="shared" si="4"/>
        <v>1386.7445454545457</v>
      </c>
      <c r="U7" s="39">
        <f t="shared" si="4"/>
        <v>1463.6055000000003</v>
      </c>
      <c r="V7" s="39">
        <f t="shared" si="4"/>
        <v>1909.0500000000004</v>
      </c>
      <c r="W7" s="39">
        <f t="shared" si="4"/>
        <v>1792.9296000000004</v>
      </c>
      <c r="X7" s="39">
        <f t="shared" si="4"/>
        <v>1963.6848000000005</v>
      </c>
      <c r="Y7" s="39">
        <f t="shared" si="4"/>
        <v>2049.0624000000003</v>
      </c>
      <c r="Z7" s="39">
        <f t="shared" si="4"/>
        <v>2305.1952000000001</v>
      </c>
      <c r="AA7" s="39">
        <f t="shared" si="4"/>
        <v>2433.2616000000003</v>
      </c>
      <c r="AB7" s="48">
        <f t="shared" si="4"/>
        <v>2636.2731818181819</v>
      </c>
    </row>
    <row r="8" spans="1:28" x14ac:dyDescent="0.2">
      <c r="A8" s="12"/>
      <c r="B8" s="12" t="s">
        <v>88</v>
      </c>
      <c r="C8" s="9"/>
      <c r="D8" s="45"/>
      <c r="E8" s="46"/>
      <c r="F8" s="46"/>
      <c r="G8" s="46"/>
      <c r="H8" s="46"/>
      <c r="I8" s="46"/>
      <c r="J8" s="46"/>
      <c r="K8" s="39"/>
      <c r="L8" s="39"/>
      <c r="M8" s="39"/>
      <c r="N8" s="39"/>
      <c r="O8" s="39"/>
      <c r="P8" s="39"/>
      <c r="Q8" s="47">
        <v>37500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:28" x14ac:dyDescent="0.2">
      <c r="A9" s="12"/>
      <c r="B9" s="12"/>
      <c r="C9" s="9" t="s">
        <v>51</v>
      </c>
      <c r="D9" s="24">
        <v>0.20585205657519706</v>
      </c>
      <c r="E9" s="16">
        <v>0.16480200895785313</v>
      </c>
      <c r="F9" s="16">
        <v>0.12490489308671128</v>
      </c>
      <c r="G9" s="16">
        <v>0.11818226539300919</v>
      </c>
      <c r="H9" s="16">
        <v>0.1082832456799399</v>
      </c>
      <c r="I9" s="16">
        <v>0.11428489439853078</v>
      </c>
      <c r="J9" s="16">
        <v>0.14229142070051162</v>
      </c>
      <c r="K9" s="17">
        <v>0.14000000000000001</v>
      </c>
      <c r="L9" s="17">
        <v>0.14000000000000001</v>
      </c>
      <c r="M9" s="17">
        <v>0.16</v>
      </c>
      <c r="N9" s="17">
        <v>0.18</v>
      </c>
      <c r="O9" s="17">
        <v>0.19</v>
      </c>
      <c r="P9" s="17">
        <v>0.20585205657519706</v>
      </c>
      <c r="Q9" s="26">
        <v>0.16480200895785313</v>
      </c>
      <c r="R9" s="17">
        <v>0.12490489308671128</v>
      </c>
      <c r="S9" s="17">
        <v>0.11818226539300919</v>
      </c>
      <c r="T9" s="17">
        <v>0.1082832456799399</v>
      </c>
      <c r="U9" s="17">
        <v>0.11428489439853078</v>
      </c>
      <c r="V9" s="17">
        <v>0.14229142070051162</v>
      </c>
      <c r="W9" s="17">
        <v>0.14000000000000001</v>
      </c>
      <c r="X9" s="17">
        <v>0.14000000000000001</v>
      </c>
      <c r="Y9" s="17">
        <v>0.16</v>
      </c>
      <c r="Z9" s="17">
        <v>0.18</v>
      </c>
      <c r="AA9" s="17">
        <v>0.19</v>
      </c>
      <c r="AB9" s="18">
        <v>0.20585205657519706</v>
      </c>
    </row>
    <row r="10" spans="1:28" x14ac:dyDescent="0.2">
      <c r="A10" s="12"/>
      <c r="B10" s="12"/>
      <c r="C10" s="9"/>
      <c r="D10" s="54"/>
      <c r="E10" s="55"/>
      <c r="F10" s="55"/>
      <c r="G10" s="55"/>
      <c r="H10" s="55"/>
      <c r="I10" s="55"/>
      <c r="J10" s="55"/>
      <c r="K10" s="40"/>
      <c r="L10" s="40"/>
      <c r="M10" s="40"/>
      <c r="N10" s="40"/>
      <c r="O10" s="40"/>
      <c r="P10" s="40"/>
      <c r="Q10" s="56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x14ac:dyDescent="0.2">
      <c r="A11" s="12" t="s">
        <v>32</v>
      </c>
      <c r="B11" s="12"/>
      <c r="C11" s="9"/>
      <c r="D11" s="54"/>
      <c r="E11" s="55"/>
      <c r="F11" s="55"/>
      <c r="G11" s="55"/>
      <c r="H11" s="55"/>
      <c r="I11" s="55"/>
      <c r="J11" s="55"/>
      <c r="K11" s="40"/>
      <c r="L11" s="40"/>
      <c r="M11" s="40"/>
      <c r="N11" s="40"/>
      <c r="O11" s="40"/>
      <c r="P11" s="40"/>
      <c r="Q11" s="56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</row>
    <row r="12" spans="1:28" x14ac:dyDescent="0.2">
      <c r="A12" s="12"/>
      <c r="B12" s="12" t="s">
        <v>33</v>
      </c>
      <c r="C12" s="9"/>
      <c r="D12" s="45">
        <f>SUM(D4:D7)</f>
        <v>13416.48</v>
      </c>
      <c r="E12" s="46">
        <f>SUM(E4:E7)</f>
        <v>12806.64</v>
      </c>
      <c r="F12" s="46">
        <f>3049.2*4</f>
        <v>12196.8</v>
      </c>
      <c r="G12" s="46">
        <f>3049.2*4+1219.68</f>
        <v>13416.48</v>
      </c>
      <c r="H12" s="46">
        <f>3049.2*3+1829.52+2439.36</f>
        <v>13416.48</v>
      </c>
      <c r="I12" s="46">
        <f>3049.2*3+609.84+2439.36</f>
        <v>12196.8</v>
      </c>
      <c r="J12" s="46">
        <f>3049.2*4+1219.68</f>
        <v>13416.48</v>
      </c>
      <c r="K12" s="39">
        <f t="shared" ref="K12:P12" si="5">609.84*K3</f>
        <v>13416.480000000001</v>
      </c>
      <c r="L12" s="39">
        <f t="shared" si="5"/>
        <v>12806.640000000001</v>
      </c>
      <c r="M12" s="39">
        <f t="shared" si="5"/>
        <v>12806.640000000001</v>
      </c>
      <c r="N12" s="39">
        <f t="shared" si="5"/>
        <v>13416.480000000001</v>
      </c>
      <c r="O12" s="39">
        <f t="shared" si="5"/>
        <v>12196.800000000001</v>
      </c>
      <c r="P12" s="39">
        <f t="shared" si="5"/>
        <v>12806.640000000001</v>
      </c>
      <c r="Q12" s="47">
        <f t="shared" ref="Q12:AB12" si="6">609.84*Q3*(1-$B$23)</f>
        <v>9757.44</v>
      </c>
      <c r="R12" s="39">
        <f t="shared" si="6"/>
        <v>10245.312000000002</v>
      </c>
      <c r="S12" s="39">
        <f t="shared" si="6"/>
        <v>11221.056000000002</v>
      </c>
      <c r="T12" s="39">
        <f t="shared" si="6"/>
        <v>10245.312000000002</v>
      </c>
      <c r="U12" s="39">
        <f t="shared" si="6"/>
        <v>10245.312000000002</v>
      </c>
      <c r="V12" s="39">
        <f t="shared" si="6"/>
        <v>10733.184000000001</v>
      </c>
      <c r="W12" s="39">
        <f t="shared" si="6"/>
        <v>10245.312000000002</v>
      </c>
      <c r="X12" s="39">
        <f t="shared" si="6"/>
        <v>11221.056000000002</v>
      </c>
      <c r="Y12" s="39">
        <f t="shared" si="6"/>
        <v>10245.312000000002</v>
      </c>
      <c r="Z12" s="39">
        <f t="shared" si="6"/>
        <v>10245.312000000002</v>
      </c>
      <c r="AA12" s="39">
        <f t="shared" si="6"/>
        <v>10245.312000000002</v>
      </c>
      <c r="AB12" s="48">
        <f t="shared" si="6"/>
        <v>10245.312000000002</v>
      </c>
    </row>
    <row r="13" spans="1:28" x14ac:dyDescent="0.2">
      <c r="A13" s="12"/>
      <c r="B13" s="12" t="s">
        <v>34</v>
      </c>
      <c r="C13" s="9"/>
      <c r="D13" s="54"/>
      <c r="E13" s="55"/>
      <c r="F13" s="55"/>
      <c r="G13" s="55"/>
      <c r="H13" s="55"/>
      <c r="I13" s="55"/>
      <c r="J13" s="55"/>
      <c r="K13" s="40"/>
      <c r="L13" s="40"/>
      <c r="M13" s="40"/>
      <c r="N13" s="40"/>
      <c r="O13" s="40"/>
      <c r="P13" s="40"/>
      <c r="Q13" s="56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</row>
    <row r="14" spans="1:28" x14ac:dyDescent="0.2">
      <c r="A14" s="12"/>
      <c r="B14" s="12" t="s">
        <v>35</v>
      </c>
      <c r="C14" s="9"/>
      <c r="D14" s="54"/>
      <c r="E14" s="55"/>
      <c r="F14" s="55"/>
      <c r="G14" s="55"/>
      <c r="H14" s="55"/>
      <c r="I14" s="55"/>
      <c r="J14" s="55"/>
      <c r="K14" s="40"/>
      <c r="L14" s="40"/>
      <c r="M14" s="40"/>
      <c r="N14" s="40"/>
      <c r="O14" s="40"/>
      <c r="P14" s="40"/>
      <c r="Q14" s="56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x14ac:dyDescent="0.2">
      <c r="A15" s="12"/>
      <c r="B15" s="12"/>
      <c r="C15" s="9"/>
      <c r="D15" s="54"/>
      <c r="E15" s="55"/>
      <c r="F15" s="55"/>
      <c r="G15" s="55"/>
      <c r="H15" s="55"/>
      <c r="I15" s="55"/>
      <c r="J15" s="55"/>
      <c r="K15" s="40"/>
      <c r="L15" s="40"/>
      <c r="M15" s="40"/>
      <c r="N15" s="40"/>
      <c r="O15" s="40"/>
      <c r="P15" s="40"/>
      <c r="Q15" s="56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/>
    </row>
    <row r="16" spans="1:28" x14ac:dyDescent="0.2">
      <c r="A16" s="12" t="s">
        <v>36</v>
      </c>
      <c r="B16" s="12"/>
      <c r="C16" s="9"/>
      <c r="D16" s="54"/>
      <c r="E16" s="55"/>
      <c r="F16" s="55"/>
      <c r="G16" s="55"/>
      <c r="H16" s="55"/>
      <c r="I16" s="55"/>
      <c r="J16" s="55"/>
      <c r="K16" s="40"/>
      <c r="L16" s="40"/>
      <c r="M16" s="40"/>
      <c r="N16" s="40"/>
      <c r="O16" s="40"/>
      <c r="P16" s="40"/>
      <c r="Q16" s="5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x14ac:dyDescent="0.2">
      <c r="A17" s="19"/>
      <c r="B17" s="19" t="s">
        <v>37</v>
      </c>
      <c r="C17" s="20"/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42">
        <f t="shared" ref="K17:P17" si="7">SUM(K4:K7)-SUM(K12:K14)+J17</f>
        <v>-2.7999999983876478E-3</v>
      </c>
      <c r="L17" s="42">
        <f t="shared" si="7"/>
        <v>-3.2000000010157237E-3</v>
      </c>
      <c r="M17" s="42">
        <f t="shared" si="7"/>
        <v>-8.0000000161817297E-4</v>
      </c>
      <c r="N17" s="42">
        <f t="shared" si="7"/>
        <v>-4.4000000034429831E-3</v>
      </c>
      <c r="O17" s="42">
        <f t="shared" si="7"/>
        <v>-2.4000000048545189E-3</v>
      </c>
      <c r="P17" s="42">
        <f t="shared" si="7"/>
        <v>-9.2181818235985702E-3</v>
      </c>
      <c r="Q17" s="59">
        <f t="shared" ref="Q17:AB17" si="8">SUM(Q4:Q8)-SUM(Q12:Q14)+P17</f>
        <v>39999.997924675314</v>
      </c>
      <c r="R17" s="42">
        <f t="shared" si="8"/>
        <v>42499.997924675314</v>
      </c>
      <c r="S17" s="42">
        <f t="shared" si="8"/>
        <v>38140.774197402585</v>
      </c>
      <c r="T17" s="42">
        <f t="shared" si="8"/>
        <v>31782.206742857128</v>
      </c>
      <c r="U17" s="42">
        <f t="shared" si="8"/>
        <v>25500.500242857128</v>
      </c>
      <c r="V17" s="42">
        <f t="shared" si="8"/>
        <v>19176.366242857126</v>
      </c>
      <c r="W17" s="42">
        <f t="shared" si="8"/>
        <v>13223.983842857124</v>
      </c>
      <c r="X17" s="42">
        <f t="shared" si="8"/>
        <v>6466.6126428571224</v>
      </c>
      <c r="Y17" s="42">
        <f t="shared" si="8"/>
        <v>770.3630428571214</v>
      </c>
      <c r="Z17" s="42">
        <f t="shared" si="8"/>
        <v>-4669.7537571428802</v>
      </c>
      <c r="AA17" s="42">
        <f t="shared" si="8"/>
        <v>-9981.8041571428821</v>
      </c>
      <c r="AB17" s="43">
        <f t="shared" si="8"/>
        <v>-15090.842975324702</v>
      </c>
    </row>
    <row r="19" spans="1:28" x14ac:dyDescent="0.2">
      <c r="A19" t="s">
        <v>52</v>
      </c>
      <c r="J19" s="30">
        <v>66766</v>
      </c>
      <c r="K19" s="31">
        <f t="shared" ref="K19:AB19" si="9">J19-K4</f>
        <v>57535.46</v>
      </c>
      <c r="L19" s="31">
        <f t="shared" si="9"/>
        <v>48724.49</v>
      </c>
      <c r="M19" s="31">
        <f t="shared" si="9"/>
        <v>40118.43</v>
      </c>
      <c r="N19" s="31">
        <f t="shared" si="9"/>
        <v>31317.22</v>
      </c>
      <c r="O19" s="31">
        <f t="shared" si="9"/>
        <v>23413.690000000002</v>
      </c>
      <c r="P19" s="31">
        <f t="shared" si="9"/>
        <v>15277.400000000001</v>
      </c>
      <c r="Q19" s="31">
        <f t="shared" si="9"/>
        <v>9079.4900000000016</v>
      </c>
      <c r="R19" s="31">
        <f t="shared" si="9"/>
        <v>2162.9300000000012</v>
      </c>
      <c r="S19" s="31">
        <f t="shared" si="9"/>
        <v>0</v>
      </c>
      <c r="T19" s="31">
        <f t="shared" si="9"/>
        <v>0</v>
      </c>
      <c r="U19" s="31">
        <f t="shared" si="9"/>
        <v>0</v>
      </c>
      <c r="V19" s="31">
        <f t="shared" si="9"/>
        <v>0</v>
      </c>
      <c r="W19" s="31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9"/>
        <v>0</v>
      </c>
      <c r="AB19" s="31">
        <f t="shared" si="9"/>
        <v>0</v>
      </c>
    </row>
    <row r="20" spans="1:28" x14ac:dyDescent="0.2">
      <c r="A20" t="s">
        <v>53</v>
      </c>
      <c r="J20" s="31">
        <f>83458-J19</f>
        <v>16692</v>
      </c>
      <c r="K20" s="31">
        <f t="shared" ref="K20:AB20" si="10">J20-K5</f>
        <v>14384.369999999999</v>
      </c>
      <c r="L20" s="31">
        <f t="shared" si="10"/>
        <v>12181.63</v>
      </c>
      <c r="M20" s="31">
        <f t="shared" si="10"/>
        <v>10030.109999999999</v>
      </c>
      <c r="N20" s="31">
        <f t="shared" si="10"/>
        <v>7829.8099999999986</v>
      </c>
      <c r="O20" s="31">
        <f t="shared" si="10"/>
        <v>5853.9299999999985</v>
      </c>
      <c r="P20" s="31">
        <f t="shared" si="10"/>
        <v>3819.8599999999988</v>
      </c>
      <c r="Q20" s="31">
        <f t="shared" si="10"/>
        <v>2270.3799999999987</v>
      </c>
      <c r="R20" s="31">
        <f t="shared" si="10"/>
        <v>541.23999999999864</v>
      </c>
      <c r="S20" s="31">
        <f t="shared" si="10"/>
        <v>0</v>
      </c>
      <c r="T20" s="31">
        <f t="shared" si="10"/>
        <v>0</v>
      </c>
      <c r="U20" s="31">
        <f t="shared" si="10"/>
        <v>0</v>
      </c>
      <c r="V20" s="31">
        <f t="shared" si="10"/>
        <v>0</v>
      </c>
      <c r="W20" s="31">
        <f t="shared" si="10"/>
        <v>0</v>
      </c>
      <c r="X20" s="31">
        <f t="shared" si="10"/>
        <v>0</v>
      </c>
      <c r="Y20" s="31">
        <f t="shared" si="10"/>
        <v>0</v>
      </c>
      <c r="Z20" s="31">
        <f t="shared" si="10"/>
        <v>0</v>
      </c>
      <c r="AA20" s="31">
        <f t="shared" si="10"/>
        <v>0</v>
      </c>
      <c r="AB20" s="31">
        <f t="shared" si="10"/>
        <v>0</v>
      </c>
    </row>
    <row r="22" spans="1:28" x14ac:dyDescent="0.2">
      <c r="A22" t="s">
        <v>74</v>
      </c>
      <c r="C22" s="30"/>
    </row>
    <row r="23" spans="1:28" s="67" customFormat="1" x14ac:dyDescent="0.2">
      <c r="B23" s="68">
        <v>0.2</v>
      </c>
      <c r="C23" s="30" t="s">
        <v>75</v>
      </c>
    </row>
    <row r="24" spans="1:28" x14ac:dyDescent="0.2">
      <c r="C24" s="31"/>
    </row>
    <row r="25" spans="1:28" x14ac:dyDescent="0.2">
      <c r="C25" s="61"/>
    </row>
    <row r="26" spans="1:28" x14ac:dyDescent="0.2">
      <c r="B26" s="67" t="s">
        <v>76</v>
      </c>
      <c r="C26" s="69">
        <f>AB17</f>
        <v>-15090.842975324702</v>
      </c>
    </row>
    <row r="28" spans="1:28" x14ac:dyDescent="0.2">
      <c r="A28" t="s">
        <v>89</v>
      </c>
      <c r="C28" s="82">
        <v>2500</v>
      </c>
    </row>
  </sheetData>
  <mergeCells count="2">
    <mergeCell ref="E1:P1"/>
    <mergeCell ref="Q1:A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AB24"/>
  <sheetViews>
    <sheetView topLeftCell="H1" workbookViewId="0">
      <selection activeCell="R5" sqref="R5"/>
    </sheetView>
  </sheetViews>
  <sheetFormatPr baseColWidth="10" defaultColWidth="8.83203125" defaultRowHeight="15" x14ac:dyDescent="0.2"/>
  <cols>
    <col min="1" max="1" width="6.6640625" customWidth="1"/>
    <col min="4" max="4" width="11.5" bestFit="1" customWidth="1"/>
    <col min="5" max="5" width="13.83203125" customWidth="1"/>
    <col min="6" max="6" width="12.5" bestFit="1" customWidth="1"/>
    <col min="7" max="28" width="11.5" bestFit="1" customWidth="1"/>
  </cols>
  <sheetData>
    <row r="1" spans="1:28" x14ac:dyDescent="0.2">
      <c r="A1" s="10"/>
      <c r="B1" s="11"/>
      <c r="C1" s="11"/>
      <c r="D1" s="21">
        <v>2014</v>
      </c>
      <c r="E1" s="182">
        <v>2015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>
        <v>2016</v>
      </c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4"/>
    </row>
    <row r="2" spans="1:28" s="62" customFormat="1" x14ac:dyDescent="0.2">
      <c r="A2" s="64"/>
      <c r="B2" s="65"/>
      <c r="C2" s="65"/>
      <c r="D2" s="66" t="s">
        <v>49</v>
      </c>
      <c r="E2" s="32" t="s">
        <v>39</v>
      </c>
      <c r="F2" s="32" t="s">
        <v>40</v>
      </c>
      <c r="G2" s="32" t="s">
        <v>41</v>
      </c>
      <c r="H2" s="32" t="s">
        <v>42</v>
      </c>
      <c r="I2" s="32" t="s">
        <v>20</v>
      </c>
      <c r="J2" s="32" t="s">
        <v>43</v>
      </c>
      <c r="K2" s="32" t="s">
        <v>44</v>
      </c>
      <c r="L2" s="32" t="s">
        <v>45</v>
      </c>
      <c r="M2" s="32" t="s">
        <v>46</v>
      </c>
      <c r="N2" s="32" t="s">
        <v>47</v>
      </c>
      <c r="O2" s="32" t="s">
        <v>48</v>
      </c>
      <c r="P2" s="32" t="s">
        <v>49</v>
      </c>
      <c r="Q2" s="34" t="s">
        <v>39</v>
      </c>
      <c r="R2" s="32" t="s">
        <v>40</v>
      </c>
      <c r="S2" s="32" t="s">
        <v>41</v>
      </c>
      <c r="T2" s="32" t="s">
        <v>42</v>
      </c>
      <c r="U2" s="32" t="s">
        <v>20</v>
      </c>
      <c r="V2" s="32" t="s">
        <v>43</v>
      </c>
      <c r="W2" s="32" t="s">
        <v>44</v>
      </c>
      <c r="X2" s="32" t="s">
        <v>45</v>
      </c>
      <c r="Y2" s="32" t="s">
        <v>46</v>
      </c>
      <c r="Z2" s="32" t="s">
        <v>47</v>
      </c>
      <c r="AA2" s="32" t="s">
        <v>48</v>
      </c>
      <c r="AB2" s="33" t="s">
        <v>49</v>
      </c>
    </row>
    <row r="3" spans="1:28" x14ac:dyDescent="0.2">
      <c r="A3" s="12" t="s">
        <v>29</v>
      </c>
      <c r="B3" s="9"/>
      <c r="C3" s="9" t="s">
        <v>50</v>
      </c>
      <c r="D3" s="23">
        <v>22</v>
      </c>
      <c r="E3" s="9">
        <v>21</v>
      </c>
      <c r="F3" s="9">
        <v>20</v>
      </c>
      <c r="G3" s="9">
        <v>22</v>
      </c>
      <c r="H3" s="9">
        <v>22</v>
      </c>
      <c r="I3" s="9">
        <v>20</v>
      </c>
      <c r="J3" s="9">
        <v>22</v>
      </c>
      <c r="K3" s="9">
        <v>22</v>
      </c>
      <c r="L3" s="9">
        <v>21</v>
      </c>
      <c r="M3" s="9">
        <v>21</v>
      </c>
      <c r="N3" s="9">
        <v>22</v>
      </c>
      <c r="O3" s="9">
        <v>20</v>
      </c>
      <c r="P3" s="9">
        <v>21</v>
      </c>
      <c r="Q3" s="12">
        <v>20</v>
      </c>
      <c r="R3" s="9">
        <v>21</v>
      </c>
      <c r="S3" s="9">
        <v>23</v>
      </c>
      <c r="T3" s="9">
        <v>21</v>
      </c>
      <c r="U3" s="9">
        <v>21</v>
      </c>
      <c r="V3" s="9">
        <v>22</v>
      </c>
      <c r="W3" s="9">
        <v>21</v>
      </c>
      <c r="X3" s="9">
        <v>23</v>
      </c>
      <c r="Y3" s="9">
        <v>21</v>
      </c>
      <c r="Z3" s="9">
        <v>21</v>
      </c>
      <c r="AA3" s="9">
        <v>21</v>
      </c>
      <c r="AB3" s="15">
        <v>21</v>
      </c>
    </row>
    <row r="4" spans="1:28" x14ac:dyDescent="0.2">
      <c r="A4" s="12"/>
      <c r="B4" s="9" t="s">
        <v>30</v>
      </c>
      <c r="C4" s="9"/>
      <c r="D4" s="45">
        <v>8523.74</v>
      </c>
      <c r="E4" s="46">
        <v>8556.86</v>
      </c>
      <c r="F4" s="46">
        <f t="shared" ref="F4:Q4" si="0">ROUND(0.8*(F11-F6),2)</f>
        <v>8538.69</v>
      </c>
      <c r="G4" s="46">
        <f t="shared" si="0"/>
        <v>9464.7099999999991</v>
      </c>
      <c r="H4" s="46">
        <f t="shared" si="0"/>
        <v>9570.9599999999991</v>
      </c>
      <c r="I4" s="46">
        <f t="shared" si="0"/>
        <v>8642.31</v>
      </c>
      <c r="J4" s="46">
        <f t="shared" si="0"/>
        <v>9205.94</v>
      </c>
      <c r="K4" s="39">
        <f t="shared" si="0"/>
        <v>9230.5400000000009</v>
      </c>
      <c r="L4" s="39">
        <f t="shared" si="0"/>
        <v>8810.9699999999993</v>
      </c>
      <c r="M4" s="39">
        <f t="shared" si="0"/>
        <v>8606.06</v>
      </c>
      <c r="N4" s="39">
        <f t="shared" si="0"/>
        <v>8801.2099999999991</v>
      </c>
      <c r="O4" s="39">
        <f t="shared" si="0"/>
        <v>7903.53</v>
      </c>
      <c r="P4" s="39">
        <f t="shared" si="0"/>
        <v>8136.29</v>
      </c>
      <c r="Q4" s="47">
        <f t="shared" si="0"/>
        <v>8149.39</v>
      </c>
      <c r="R4" s="39">
        <f>Q18</f>
        <v>7128.0100000000011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48">
        <v>0</v>
      </c>
    </row>
    <row r="5" spans="1:28" x14ac:dyDescent="0.2">
      <c r="A5" s="12"/>
      <c r="B5" s="9" t="s">
        <v>31</v>
      </c>
      <c r="C5" s="9"/>
      <c r="D5" s="45">
        <v>2130.9299999999998</v>
      </c>
      <c r="E5" s="46">
        <v>2139.2199999999998</v>
      </c>
      <c r="F5" s="46">
        <f t="shared" ref="F5:Q5" si="1">ROUND(0.2*(F11-F6),2)</f>
        <v>2134.67</v>
      </c>
      <c r="G5" s="46">
        <f t="shared" si="1"/>
        <v>2366.1799999999998</v>
      </c>
      <c r="H5" s="46">
        <f t="shared" si="1"/>
        <v>2392.7399999999998</v>
      </c>
      <c r="I5" s="46">
        <f t="shared" si="1"/>
        <v>2160.58</v>
      </c>
      <c r="J5" s="46">
        <f t="shared" si="1"/>
        <v>2301.4899999999998</v>
      </c>
      <c r="K5" s="39">
        <f t="shared" si="1"/>
        <v>2307.63</v>
      </c>
      <c r="L5" s="39">
        <f t="shared" si="1"/>
        <v>2202.7399999999998</v>
      </c>
      <c r="M5" s="39">
        <f t="shared" si="1"/>
        <v>2151.52</v>
      </c>
      <c r="N5" s="39">
        <f t="shared" si="1"/>
        <v>2200.3000000000002</v>
      </c>
      <c r="O5" s="39">
        <f t="shared" si="1"/>
        <v>1975.88</v>
      </c>
      <c r="P5" s="39">
        <f t="shared" si="1"/>
        <v>2034.07</v>
      </c>
      <c r="Q5" s="47">
        <f t="shared" si="1"/>
        <v>2037.35</v>
      </c>
      <c r="R5" s="39">
        <f>Q19</f>
        <v>1782.5099999999989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48">
        <v>0</v>
      </c>
    </row>
    <row r="6" spans="1:28" x14ac:dyDescent="0.2">
      <c r="A6" s="12"/>
      <c r="B6" s="9" t="s">
        <v>38</v>
      </c>
      <c r="C6" s="9"/>
      <c r="D6" s="45">
        <v>2761.81</v>
      </c>
      <c r="E6" s="46">
        <v>2110.56</v>
      </c>
      <c r="F6" s="46">
        <v>1523.44</v>
      </c>
      <c r="G6" s="46">
        <v>1585.59</v>
      </c>
      <c r="H6" s="46">
        <v>1452.78</v>
      </c>
      <c r="I6" s="46">
        <v>1393.91</v>
      </c>
      <c r="J6" s="46">
        <v>1909.05</v>
      </c>
      <c r="K6" s="39">
        <f t="shared" ref="K6:AB6" si="2">K7*K11</f>
        <v>1878.3072000000004</v>
      </c>
      <c r="L6" s="39">
        <f t="shared" si="2"/>
        <v>1792.9296000000004</v>
      </c>
      <c r="M6" s="39">
        <f t="shared" si="2"/>
        <v>2049.0624000000003</v>
      </c>
      <c r="N6" s="39">
        <f t="shared" si="2"/>
        <v>2414.9664000000002</v>
      </c>
      <c r="O6" s="39">
        <f t="shared" si="2"/>
        <v>2317.3920000000003</v>
      </c>
      <c r="P6" s="39">
        <f t="shared" si="2"/>
        <v>2636.2731818181819</v>
      </c>
      <c r="Q6" s="47">
        <f t="shared" si="2"/>
        <v>2010.0571428571432</v>
      </c>
      <c r="R6" s="39">
        <f t="shared" si="2"/>
        <v>1599.6120000000003</v>
      </c>
      <c r="S6" s="39">
        <f t="shared" si="2"/>
        <v>1657.6622727272729</v>
      </c>
      <c r="T6" s="39">
        <f t="shared" si="2"/>
        <v>1386.7445454545457</v>
      </c>
      <c r="U6" s="39">
        <f t="shared" si="2"/>
        <v>1463.6055000000003</v>
      </c>
      <c r="V6" s="39">
        <f t="shared" si="2"/>
        <v>1909.0500000000004</v>
      </c>
      <c r="W6" s="39">
        <f t="shared" si="2"/>
        <v>1792.9296000000004</v>
      </c>
      <c r="X6" s="39">
        <f t="shared" si="2"/>
        <v>1963.6848000000005</v>
      </c>
      <c r="Y6" s="39">
        <f t="shared" si="2"/>
        <v>2049.0624000000003</v>
      </c>
      <c r="Z6" s="39">
        <f t="shared" si="2"/>
        <v>2305.1952000000001</v>
      </c>
      <c r="AA6" s="39">
        <f t="shared" si="2"/>
        <v>2433.2616000000003</v>
      </c>
      <c r="AB6" s="48">
        <f t="shared" si="2"/>
        <v>2636.2731818181819</v>
      </c>
    </row>
    <row r="7" spans="1:28" hidden="1" x14ac:dyDescent="0.2">
      <c r="A7" s="12"/>
      <c r="B7" s="9"/>
      <c r="C7" s="9" t="s">
        <v>51</v>
      </c>
      <c r="D7" s="49">
        <v>0.20585205657519706</v>
      </c>
      <c r="E7" s="50">
        <v>0.16480200895785313</v>
      </c>
      <c r="F7" s="50">
        <v>0.12490489308671128</v>
      </c>
      <c r="G7" s="50">
        <v>0.11818226539300919</v>
      </c>
      <c r="H7" s="50">
        <v>0.1082832456799399</v>
      </c>
      <c r="I7" s="50">
        <v>0.11428489439853078</v>
      </c>
      <c r="J7" s="50">
        <v>0.14229142070051162</v>
      </c>
      <c r="K7" s="40">
        <v>0.14000000000000001</v>
      </c>
      <c r="L7" s="40">
        <v>0.14000000000000001</v>
      </c>
      <c r="M7" s="40">
        <v>0.16</v>
      </c>
      <c r="N7" s="40">
        <v>0.18</v>
      </c>
      <c r="O7" s="40">
        <v>0.19</v>
      </c>
      <c r="P7" s="51">
        <v>0.20585205657519706</v>
      </c>
      <c r="Q7" s="52">
        <v>0.16480200895785313</v>
      </c>
      <c r="R7" s="51">
        <v>0.12490489308671128</v>
      </c>
      <c r="S7" s="51">
        <v>0.11818226539300919</v>
      </c>
      <c r="T7" s="51">
        <v>0.1082832456799399</v>
      </c>
      <c r="U7" s="51">
        <v>0.11428489439853078</v>
      </c>
      <c r="V7" s="51">
        <v>0.14229142070051162</v>
      </c>
      <c r="W7" s="40">
        <v>0.14000000000000001</v>
      </c>
      <c r="X7" s="40">
        <v>0.14000000000000001</v>
      </c>
      <c r="Y7" s="40">
        <v>0.16</v>
      </c>
      <c r="Z7" s="40">
        <v>0.18</v>
      </c>
      <c r="AA7" s="40">
        <v>0.19</v>
      </c>
      <c r="AB7" s="53">
        <v>0.20585205657519706</v>
      </c>
    </row>
    <row r="8" spans="1:28" x14ac:dyDescent="0.2">
      <c r="A8" s="12"/>
      <c r="B8" s="44" t="s">
        <v>80</v>
      </c>
      <c r="C8" s="9"/>
      <c r="D8" s="49"/>
      <c r="E8" s="50"/>
      <c r="F8" s="50"/>
      <c r="G8" s="50"/>
      <c r="H8" s="50"/>
      <c r="I8" s="50"/>
      <c r="J8" s="50"/>
      <c r="K8" s="40"/>
      <c r="L8" s="40"/>
      <c r="M8" s="40"/>
      <c r="N8" s="40"/>
      <c r="O8" s="40"/>
      <c r="P8" s="51"/>
      <c r="Q8" s="52"/>
      <c r="R8" s="51"/>
      <c r="S8" s="51"/>
      <c r="T8" s="51">
        <v>75000</v>
      </c>
      <c r="U8" s="51"/>
      <c r="V8" s="51"/>
      <c r="W8" s="40"/>
      <c r="X8" s="40"/>
      <c r="Y8" s="40"/>
      <c r="Z8" s="40">
        <v>75000</v>
      </c>
      <c r="AA8" s="40"/>
      <c r="AB8" s="53"/>
    </row>
    <row r="9" spans="1:28" x14ac:dyDescent="0.2">
      <c r="A9" s="12"/>
      <c r="B9" s="9"/>
      <c r="C9" s="9"/>
      <c r="D9" s="54"/>
      <c r="E9" s="55"/>
      <c r="F9" s="55"/>
      <c r="G9" s="55"/>
      <c r="H9" s="55"/>
      <c r="I9" s="55"/>
      <c r="J9" s="55"/>
      <c r="K9" s="40"/>
      <c r="L9" s="40"/>
      <c r="M9" s="40"/>
      <c r="N9" s="40"/>
      <c r="O9" s="40"/>
      <c r="P9" s="40"/>
      <c r="Q9" s="56"/>
      <c r="R9" s="40"/>
      <c r="S9" s="40"/>
      <c r="T9" s="40"/>
      <c r="U9" s="40"/>
      <c r="V9" s="40"/>
      <c r="W9" s="40"/>
      <c r="X9" s="40"/>
      <c r="Y9" s="40"/>
      <c r="Z9" s="40"/>
      <c r="AA9" s="40"/>
      <c r="AB9" s="41"/>
    </row>
    <row r="10" spans="1:28" x14ac:dyDescent="0.2">
      <c r="A10" s="12" t="s">
        <v>32</v>
      </c>
      <c r="B10" s="9"/>
      <c r="C10" s="9"/>
      <c r="D10" s="54"/>
      <c r="E10" s="55"/>
      <c r="F10" s="55"/>
      <c r="G10" s="55"/>
      <c r="H10" s="55"/>
      <c r="I10" s="55"/>
      <c r="J10" s="55"/>
      <c r="K10" s="40"/>
      <c r="L10" s="40"/>
      <c r="M10" s="40"/>
      <c r="N10" s="40"/>
      <c r="O10" s="40"/>
      <c r="P10" s="40"/>
      <c r="Q10" s="56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x14ac:dyDescent="0.2">
      <c r="A11" s="12"/>
      <c r="B11" s="9" t="s">
        <v>33</v>
      </c>
      <c r="C11" s="9"/>
      <c r="D11" s="45">
        <f>SUM(D4:D6)</f>
        <v>13416.48</v>
      </c>
      <c r="E11" s="46">
        <f>SUM(E4:E6)</f>
        <v>12806.64</v>
      </c>
      <c r="F11" s="46">
        <f>3049.2*4</f>
        <v>12196.8</v>
      </c>
      <c r="G11" s="46">
        <f>3049.2*4+1219.68</f>
        <v>13416.48</v>
      </c>
      <c r="H11" s="46">
        <f>3049.2*3+1829.52+2439.36</f>
        <v>13416.48</v>
      </c>
      <c r="I11" s="46">
        <f>3049.2*3+609.84+2439.36</f>
        <v>12196.8</v>
      </c>
      <c r="J11" s="46">
        <f>3049.2*4+1219.68</f>
        <v>13416.48</v>
      </c>
      <c r="K11" s="39">
        <f t="shared" ref="K11:AB11" si="3">609.84*K3</f>
        <v>13416.480000000001</v>
      </c>
      <c r="L11" s="39">
        <f t="shared" si="3"/>
        <v>12806.640000000001</v>
      </c>
      <c r="M11" s="39">
        <f t="shared" si="3"/>
        <v>12806.640000000001</v>
      </c>
      <c r="N11" s="39">
        <f t="shared" si="3"/>
        <v>13416.480000000001</v>
      </c>
      <c r="O11" s="39">
        <f t="shared" si="3"/>
        <v>12196.800000000001</v>
      </c>
      <c r="P11" s="39">
        <f t="shared" si="3"/>
        <v>12806.640000000001</v>
      </c>
      <c r="Q11" s="47">
        <f t="shared" si="3"/>
        <v>12196.800000000001</v>
      </c>
      <c r="R11" s="39">
        <f t="shared" si="3"/>
        <v>12806.640000000001</v>
      </c>
      <c r="S11" s="39">
        <f t="shared" si="3"/>
        <v>14026.320000000002</v>
      </c>
      <c r="T11" s="39">
        <f t="shared" si="3"/>
        <v>12806.640000000001</v>
      </c>
      <c r="U11" s="39">
        <f t="shared" si="3"/>
        <v>12806.640000000001</v>
      </c>
      <c r="V11" s="39">
        <f t="shared" si="3"/>
        <v>13416.480000000001</v>
      </c>
      <c r="W11" s="39">
        <f t="shared" si="3"/>
        <v>12806.640000000001</v>
      </c>
      <c r="X11" s="39">
        <f t="shared" si="3"/>
        <v>14026.320000000002</v>
      </c>
      <c r="Y11" s="39">
        <f t="shared" si="3"/>
        <v>12806.640000000001</v>
      </c>
      <c r="Z11" s="39">
        <f t="shared" si="3"/>
        <v>12806.640000000001</v>
      </c>
      <c r="AA11" s="39">
        <f t="shared" si="3"/>
        <v>12806.640000000001</v>
      </c>
      <c r="AB11" s="48">
        <f t="shared" si="3"/>
        <v>12806.640000000001</v>
      </c>
    </row>
    <row r="12" spans="1:28" x14ac:dyDescent="0.2">
      <c r="A12" s="12"/>
      <c r="B12" s="9" t="s">
        <v>34</v>
      </c>
      <c r="C12" s="9"/>
      <c r="D12" s="54"/>
      <c r="E12" s="55"/>
      <c r="F12" s="55"/>
      <c r="G12" s="55"/>
      <c r="H12" s="55"/>
      <c r="I12" s="55"/>
      <c r="J12" s="55"/>
      <c r="K12" s="40"/>
      <c r="L12" s="40"/>
      <c r="M12" s="40"/>
      <c r="N12" s="40"/>
      <c r="O12" s="40"/>
      <c r="P12" s="40"/>
      <c r="Q12" s="56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x14ac:dyDescent="0.2">
      <c r="A13" s="12"/>
      <c r="B13" s="9" t="s">
        <v>35</v>
      </c>
      <c r="C13" s="9"/>
      <c r="D13" s="54"/>
      <c r="E13" s="55"/>
      <c r="F13" s="55"/>
      <c r="G13" s="55"/>
      <c r="H13" s="55"/>
      <c r="I13" s="55"/>
      <c r="J13" s="55"/>
      <c r="K13" s="40"/>
      <c r="L13" s="40"/>
      <c r="M13" s="40"/>
      <c r="N13" s="40"/>
      <c r="O13" s="40"/>
      <c r="P13" s="40"/>
      <c r="Q13" s="56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</row>
    <row r="14" spans="1:28" x14ac:dyDescent="0.2">
      <c r="A14" s="12"/>
      <c r="B14" s="9"/>
      <c r="C14" s="9"/>
      <c r="D14" s="54"/>
      <c r="E14" s="55"/>
      <c r="F14" s="55"/>
      <c r="G14" s="55"/>
      <c r="H14" s="55"/>
      <c r="I14" s="55"/>
      <c r="J14" s="55"/>
      <c r="K14" s="40"/>
      <c r="L14" s="40"/>
      <c r="M14" s="40"/>
      <c r="N14" s="40"/>
      <c r="O14" s="40"/>
      <c r="P14" s="40"/>
      <c r="Q14" s="56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x14ac:dyDescent="0.2">
      <c r="A15" s="12" t="s">
        <v>36</v>
      </c>
      <c r="B15" s="9"/>
      <c r="C15" s="9"/>
      <c r="D15" s="54"/>
      <c r="E15" s="55"/>
      <c r="F15" s="55"/>
      <c r="G15" s="55"/>
      <c r="H15" s="55"/>
      <c r="I15" s="55"/>
      <c r="J15" s="55"/>
      <c r="K15" s="40"/>
      <c r="L15" s="40"/>
      <c r="M15" s="40"/>
      <c r="N15" s="40"/>
      <c r="O15" s="40"/>
      <c r="P15" s="40"/>
      <c r="Q15" s="56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/>
    </row>
    <row r="16" spans="1:28" x14ac:dyDescent="0.2">
      <c r="A16" s="19"/>
      <c r="B16" s="20" t="s">
        <v>37</v>
      </c>
      <c r="C16" s="20"/>
      <c r="D16" s="57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42">
        <f t="shared" ref="K16:AB16" si="4">SUM(K4:K8)-SUM(K11:K13)+J16</f>
        <v>0.13720000000103028</v>
      </c>
      <c r="L16" s="42">
        <f t="shared" si="4"/>
        <v>0.27679999999782012</v>
      </c>
      <c r="M16" s="42">
        <f t="shared" si="4"/>
        <v>0.43919999999707215</v>
      </c>
      <c r="N16" s="42">
        <f t="shared" si="4"/>
        <v>0.61559999999553838</v>
      </c>
      <c r="O16" s="42">
        <f t="shared" si="4"/>
        <v>0.80759999999463616</v>
      </c>
      <c r="P16" s="42">
        <f t="shared" si="4"/>
        <v>1.0066338747510599</v>
      </c>
      <c r="Q16" s="59">
        <f t="shared" si="4"/>
        <v>1.1685787408514443</v>
      </c>
      <c r="R16" s="42">
        <f t="shared" si="4"/>
        <v>-2295.2145163660625</v>
      </c>
      <c r="S16" s="42">
        <f t="shared" si="4"/>
        <v>-14663.754061373398</v>
      </c>
      <c r="T16" s="42">
        <f t="shared" si="4"/>
        <v>48916.458767326825</v>
      </c>
      <c r="U16" s="42">
        <f t="shared" si="4"/>
        <v>37573.538552221224</v>
      </c>
      <c r="V16" s="42">
        <f t="shared" si="4"/>
        <v>26066.250843641923</v>
      </c>
      <c r="W16" s="42">
        <f t="shared" si="4"/>
        <v>15052.680443641922</v>
      </c>
      <c r="X16" s="42">
        <f t="shared" si="4"/>
        <v>2990.1852436419213</v>
      </c>
      <c r="Y16" s="42">
        <f t="shared" si="4"/>
        <v>-7767.2323563580794</v>
      </c>
      <c r="Z16" s="42">
        <f t="shared" si="4"/>
        <v>56731.502843641916</v>
      </c>
      <c r="AA16" s="42">
        <f t="shared" si="4"/>
        <v>46358.314443641917</v>
      </c>
      <c r="AB16" s="43">
        <f t="shared" si="4"/>
        <v>36188.153477516673</v>
      </c>
    </row>
    <row r="18" spans="1:28" x14ac:dyDescent="0.2">
      <c r="A18" t="s">
        <v>52</v>
      </c>
      <c r="J18" s="30">
        <v>66766</v>
      </c>
      <c r="K18" s="31">
        <f t="shared" ref="K18:AB18" si="5">J18-K4</f>
        <v>57535.46</v>
      </c>
      <c r="L18" s="31">
        <f t="shared" si="5"/>
        <v>48724.49</v>
      </c>
      <c r="M18" s="31">
        <f t="shared" si="5"/>
        <v>40118.43</v>
      </c>
      <c r="N18" s="31">
        <f t="shared" si="5"/>
        <v>31317.22</v>
      </c>
      <c r="O18" s="31">
        <f t="shared" si="5"/>
        <v>23413.690000000002</v>
      </c>
      <c r="P18" s="31">
        <f t="shared" si="5"/>
        <v>15277.400000000001</v>
      </c>
      <c r="Q18" s="31">
        <f t="shared" si="5"/>
        <v>7128.0100000000011</v>
      </c>
      <c r="R18" s="31">
        <f t="shared" si="5"/>
        <v>0</v>
      </c>
      <c r="S18" s="31">
        <f t="shared" si="5"/>
        <v>0</v>
      </c>
      <c r="T18" s="31">
        <f t="shared" si="5"/>
        <v>0</v>
      </c>
      <c r="U18" s="31">
        <f t="shared" si="5"/>
        <v>0</v>
      </c>
      <c r="V18" s="31">
        <f t="shared" si="5"/>
        <v>0</v>
      </c>
      <c r="W18" s="31">
        <f t="shared" si="5"/>
        <v>0</v>
      </c>
      <c r="X18" s="31">
        <f t="shared" si="5"/>
        <v>0</v>
      </c>
      <c r="Y18" s="31">
        <f t="shared" si="5"/>
        <v>0</v>
      </c>
      <c r="Z18" s="31">
        <f t="shared" si="5"/>
        <v>0</v>
      </c>
      <c r="AA18" s="31">
        <f t="shared" si="5"/>
        <v>0</v>
      </c>
      <c r="AB18" s="31">
        <f t="shared" si="5"/>
        <v>0</v>
      </c>
    </row>
    <row r="19" spans="1:28" x14ac:dyDescent="0.2">
      <c r="A19" t="s">
        <v>53</v>
      </c>
      <c r="J19" s="31">
        <f>83458-J18</f>
        <v>16692</v>
      </c>
      <c r="K19" s="31">
        <f t="shared" ref="K19:AB19" si="6">J19-K5</f>
        <v>14384.369999999999</v>
      </c>
      <c r="L19" s="31">
        <f t="shared" si="6"/>
        <v>12181.63</v>
      </c>
      <c r="M19" s="31">
        <f t="shared" si="6"/>
        <v>10030.109999999999</v>
      </c>
      <c r="N19" s="31">
        <f t="shared" si="6"/>
        <v>7829.8099999999986</v>
      </c>
      <c r="O19" s="31">
        <f t="shared" si="6"/>
        <v>5853.9299999999985</v>
      </c>
      <c r="P19" s="31">
        <f t="shared" si="6"/>
        <v>3819.8599999999988</v>
      </c>
      <c r="Q19" s="31">
        <f t="shared" si="6"/>
        <v>1782.5099999999989</v>
      </c>
      <c r="R19" s="31">
        <f t="shared" si="6"/>
        <v>0</v>
      </c>
      <c r="S19" s="31">
        <f t="shared" si="6"/>
        <v>0</v>
      </c>
      <c r="T19" s="31">
        <f t="shared" si="6"/>
        <v>0</v>
      </c>
      <c r="U19" s="31">
        <f t="shared" si="6"/>
        <v>0</v>
      </c>
      <c r="V19" s="31">
        <f t="shared" si="6"/>
        <v>0</v>
      </c>
      <c r="W19" s="31">
        <f t="shared" si="6"/>
        <v>0</v>
      </c>
      <c r="X19" s="31">
        <f t="shared" si="6"/>
        <v>0</v>
      </c>
      <c r="Y19" s="31">
        <f t="shared" si="6"/>
        <v>0</v>
      </c>
      <c r="Z19" s="31">
        <f t="shared" si="6"/>
        <v>0</v>
      </c>
      <c r="AA19" s="31">
        <f t="shared" si="6"/>
        <v>0</v>
      </c>
      <c r="AB19" s="31">
        <f t="shared" si="6"/>
        <v>0</v>
      </c>
    </row>
    <row r="22" spans="1:28" x14ac:dyDescent="0.2">
      <c r="A22" t="s">
        <v>78</v>
      </c>
    </row>
    <row r="23" spans="1:28" x14ac:dyDescent="0.2">
      <c r="B23" t="s">
        <v>79</v>
      </c>
      <c r="E23" s="30">
        <v>225000000</v>
      </c>
      <c r="F23" s="30">
        <v>150000</v>
      </c>
      <c r="G23" s="79">
        <f>F23/E23*100</f>
        <v>6.6666666666666666E-2</v>
      </c>
      <c r="H23" t="s">
        <v>81</v>
      </c>
    </row>
    <row r="24" spans="1:28" x14ac:dyDescent="0.2">
      <c r="B24" t="s">
        <v>59</v>
      </c>
    </row>
  </sheetData>
  <mergeCells count="2">
    <mergeCell ref="E1:P1"/>
    <mergeCell ref="Q1:A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T7"/>
  <sheetViews>
    <sheetView workbookViewId="0">
      <selection activeCell="G38" sqref="G38"/>
    </sheetView>
  </sheetViews>
  <sheetFormatPr baseColWidth="10" defaultColWidth="8.83203125" defaultRowHeight="15" x14ac:dyDescent="0.2"/>
  <sheetData>
    <row r="1" spans="1:20" x14ac:dyDescent="0.2">
      <c r="B1" s="27">
        <v>0.21875</v>
      </c>
      <c r="C1" s="27">
        <v>0.26458333333333334</v>
      </c>
      <c r="D1" s="27">
        <v>0.28680555555555554</v>
      </c>
      <c r="E1" s="27">
        <v>0.30833333333333335</v>
      </c>
      <c r="F1" s="27">
        <v>0.32916666666666666</v>
      </c>
      <c r="G1" s="27">
        <v>0.35</v>
      </c>
      <c r="H1" s="28">
        <v>0.37083333333333302</v>
      </c>
      <c r="I1" s="29">
        <v>0.52361111111111103</v>
      </c>
      <c r="J1" s="29">
        <v>0.54444444444444395</v>
      </c>
      <c r="K1" s="29">
        <v>0.56527777777777777</v>
      </c>
      <c r="L1" s="29">
        <v>0.58611111111111114</v>
      </c>
      <c r="M1" s="27">
        <v>0.6069444444444444</v>
      </c>
      <c r="N1" s="27">
        <v>0.62777777777777799</v>
      </c>
      <c r="O1" s="27">
        <v>0.64861111111111103</v>
      </c>
      <c r="P1" s="27">
        <v>0.66944444444444395</v>
      </c>
      <c r="Q1" s="27">
        <v>0.69027777777777699</v>
      </c>
      <c r="R1" s="27">
        <v>0.71111111111111103</v>
      </c>
      <c r="S1" s="27">
        <v>0.73194444444444395</v>
      </c>
      <c r="T1" s="27">
        <v>0.75277777777777699</v>
      </c>
    </row>
    <row r="2" spans="1:20" x14ac:dyDescent="0.2">
      <c r="A2" s="8">
        <v>42156</v>
      </c>
      <c r="B2">
        <v>189</v>
      </c>
      <c r="C2">
        <v>199</v>
      </c>
      <c r="D2">
        <v>104</v>
      </c>
      <c r="E2">
        <v>101</v>
      </c>
      <c r="F2">
        <v>39</v>
      </c>
      <c r="G2">
        <v>0</v>
      </c>
      <c r="H2">
        <v>38</v>
      </c>
      <c r="I2">
        <v>56</v>
      </c>
      <c r="J2">
        <v>31</v>
      </c>
      <c r="K2">
        <v>54</v>
      </c>
      <c r="L2">
        <v>4</v>
      </c>
      <c r="M2">
        <v>48</v>
      </c>
      <c r="N2">
        <v>108</v>
      </c>
      <c r="O2">
        <v>6</v>
      </c>
      <c r="P2">
        <v>32</v>
      </c>
      <c r="Q2">
        <v>0</v>
      </c>
      <c r="R2">
        <v>37</v>
      </c>
      <c r="S2">
        <v>6</v>
      </c>
      <c r="T2">
        <v>90</v>
      </c>
    </row>
    <row r="3" spans="1:20" x14ac:dyDescent="0.2">
      <c r="A3" s="8">
        <v>42125</v>
      </c>
      <c r="B3">
        <v>205</v>
      </c>
      <c r="C3">
        <v>209</v>
      </c>
      <c r="D3">
        <v>91</v>
      </c>
      <c r="E3">
        <v>51</v>
      </c>
      <c r="F3">
        <v>35</v>
      </c>
      <c r="G3">
        <v>44</v>
      </c>
      <c r="H3">
        <v>38</v>
      </c>
      <c r="I3">
        <v>43</v>
      </c>
      <c r="J3">
        <v>42</v>
      </c>
      <c r="K3">
        <v>28</v>
      </c>
      <c r="L3">
        <v>40</v>
      </c>
      <c r="M3">
        <v>60</v>
      </c>
      <c r="N3">
        <v>99</v>
      </c>
      <c r="O3">
        <v>48</v>
      </c>
      <c r="P3">
        <v>36</v>
      </c>
      <c r="Q3">
        <v>62</v>
      </c>
      <c r="R3">
        <v>68</v>
      </c>
      <c r="S3">
        <v>42</v>
      </c>
      <c r="T3">
        <v>56</v>
      </c>
    </row>
    <row r="4" spans="1:20" x14ac:dyDescent="0.2">
      <c r="A4" s="8">
        <v>42095</v>
      </c>
      <c r="B4">
        <v>221</v>
      </c>
      <c r="C4">
        <v>203</v>
      </c>
      <c r="D4">
        <v>67</v>
      </c>
      <c r="E4">
        <v>76</v>
      </c>
      <c r="F4">
        <v>28</v>
      </c>
      <c r="G4">
        <v>54</v>
      </c>
      <c r="H4">
        <v>40</v>
      </c>
      <c r="I4">
        <v>51</v>
      </c>
      <c r="J4">
        <v>41</v>
      </c>
      <c r="K4">
        <v>63</v>
      </c>
      <c r="L4">
        <v>30</v>
      </c>
      <c r="M4">
        <v>45</v>
      </c>
      <c r="N4">
        <v>89</v>
      </c>
      <c r="O4">
        <v>42</v>
      </c>
      <c r="P4">
        <v>49</v>
      </c>
      <c r="Q4">
        <v>84</v>
      </c>
      <c r="R4">
        <v>65</v>
      </c>
      <c r="S4">
        <v>46</v>
      </c>
      <c r="T4">
        <v>51</v>
      </c>
    </row>
    <row r="5" spans="1:20" x14ac:dyDescent="0.2">
      <c r="A5" s="8">
        <v>42064</v>
      </c>
      <c r="B5">
        <v>255</v>
      </c>
      <c r="C5">
        <v>222</v>
      </c>
      <c r="D5">
        <v>55</v>
      </c>
      <c r="E5">
        <v>87</v>
      </c>
      <c r="F5">
        <v>23</v>
      </c>
      <c r="G5">
        <v>47</v>
      </c>
      <c r="H5">
        <v>30</v>
      </c>
      <c r="I5">
        <v>87</v>
      </c>
      <c r="J5">
        <v>50</v>
      </c>
      <c r="K5">
        <v>59</v>
      </c>
      <c r="L5">
        <v>35</v>
      </c>
      <c r="M5">
        <v>62</v>
      </c>
      <c r="N5">
        <v>100</v>
      </c>
      <c r="O5">
        <v>64</v>
      </c>
      <c r="P5">
        <v>56</v>
      </c>
      <c r="Q5">
        <v>91</v>
      </c>
      <c r="R5">
        <v>54</v>
      </c>
      <c r="S5">
        <v>34</v>
      </c>
      <c r="T5">
        <v>35</v>
      </c>
    </row>
    <row r="6" spans="1:20" x14ac:dyDescent="0.2">
      <c r="A6" s="8">
        <v>42036</v>
      </c>
      <c r="B6">
        <v>261</v>
      </c>
      <c r="C6">
        <v>207</v>
      </c>
      <c r="D6">
        <v>55</v>
      </c>
      <c r="E6">
        <v>102</v>
      </c>
      <c r="F6">
        <v>15</v>
      </c>
      <c r="G6">
        <v>56</v>
      </c>
      <c r="H6">
        <v>41</v>
      </c>
      <c r="I6">
        <v>75</v>
      </c>
      <c r="J6">
        <v>46</v>
      </c>
      <c r="K6">
        <v>52</v>
      </c>
      <c r="L6">
        <v>39</v>
      </c>
      <c r="M6">
        <v>36</v>
      </c>
      <c r="N6">
        <v>75</v>
      </c>
      <c r="O6">
        <v>47</v>
      </c>
      <c r="P6">
        <v>70</v>
      </c>
      <c r="Q6">
        <v>80</v>
      </c>
      <c r="R6">
        <v>71</v>
      </c>
      <c r="S6">
        <v>70</v>
      </c>
      <c r="T6">
        <v>36</v>
      </c>
    </row>
    <row r="7" spans="1:20" x14ac:dyDescent="0.2">
      <c r="A7" s="8">
        <v>42005</v>
      </c>
      <c r="B7">
        <v>347</v>
      </c>
      <c r="C7">
        <v>225</v>
      </c>
      <c r="D7">
        <v>112</v>
      </c>
      <c r="E7">
        <v>136</v>
      </c>
      <c r="F7">
        <v>67</v>
      </c>
      <c r="G7">
        <v>76</v>
      </c>
      <c r="H7">
        <v>53</v>
      </c>
      <c r="I7">
        <v>120</v>
      </c>
      <c r="J7">
        <v>52</v>
      </c>
      <c r="K7">
        <v>67</v>
      </c>
      <c r="L7">
        <v>53</v>
      </c>
      <c r="M7">
        <v>38</v>
      </c>
      <c r="N7">
        <v>144</v>
      </c>
      <c r="O7">
        <v>62</v>
      </c>
      <c r="P7">
        <v>62</v>
      </c>
      <c r="Q7">
        <v>113</v>
      </c>
      <c r="R7">
        <v>100</v>
      </c>
      <c r="S7">
        <v>125</v>
      </c>
      <c r="T7">
        <v>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AB32"/>
  <sheetViews>
    <sheetView topLeftCell="B1" workbookViewId="0">
      <selection activeCell="D9" sqref="D9"/>
    </sheetView>
  </sheetViews>
  <sheetFormatPr baseColWidth="10" defaultColWidth="8.83203125" defaultRowHeight="15" x14ac:dyDescent="0.2"/>
  <cols>
    <col min="1" max="1" width="6.6640625" customWidth="1"/>
    <col min="4" max="28" width="11.5" bestFit="1" customWidth="1"/>
  </cols>
  <sheetData>
    <row r="1" spans="1:28" x14ac:dyDescent="0.2">
      <c r="A1" s="10"/>
      <c r="B1" s="11"/>
      <c r="C1" s="11"/>
      <c r="D1" s="21">
        <v>2014</v>
      </c>
      <c r="E1" s="182">
        <v>2015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>
        <v>2016</v>
      </c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4"/>
    </row>
    <row r="2" spans="1:28" s="62" customFormat="1" x14ac:dyDescent="0.2">
      <c r="A2" s="64"/>
      <c r="B2" s="65"/>
      <c r="C2" s="65"/>
      <c r="D2" s="66" t="s">
        <v>49</v>
      </c>
      <c r="E2" s="32" t="s">
        <v>39</v>
      </c>
      <c r="F2" s="32" t="s">
        <v>40</v>
      </c>
      <c r="G2" s="32" t="s">
        <v>41</v>
      </c>
      <c r="H2" s="32" t="s">
        <v>42</v>
      </c>
      <c r="I2" s="32" t="s">
        <v>20</v>
      </c>
      <c r="J2" s="32" t="s">
        <v>43</v>
      </c>
      <c r="K2" s="32" t="s">
        <v>44</v>
      </c>
      <c r="L2" s="32" t="s">
        <v>45</v>
      </c>
      <c r="M2" s="32" t="s">
        <v>46</v>
      </c>
      <c r="N2" s="32" t="s">
        <v>47</v>
      </c>
      <c r="O2" s="32" t="s">
        <v>48</v>
      </c>
      <c r="P2" s="32" t="s">
        <v>49</v>
      </c>
      <c r="Q2" s="34" t="s">
        <v>39</v>
      </c>
      <c r="R2" s="32" t="s">
        <v>40</v>
      </c>
      <c r="S2" s="32" t="s">
        <v>41</v>
      </c>
      <c r="T2" s="32" t="s">
        <v>42</v>
      </c>
      <c r="U2" s="32" t="s">
        <v>20</v>
      </c>
      <c r="V2" s="32" t="s">
        <v>43</v>
      </c>
      <c r="W2" s="32" t="s">
        <v>44</v>
      </c>
      <c r="X2" s="32" t="s">
        <v>45</v>
      </c>
      <c r="Y2" s="32" t="s">
        <v>46</v>
      </c>
      <c r="Z2" s="32" t="s">
        <v>47</v>
      </c>
      <c r="AA2" s="32" t="s">
        <v>48</v>
      </c>
      <c r="AB2" s="33" t="s">
        <v>49</v>
      </c>
    </row>
    <row r="3" spans="1:28" x14ac:dyDescent="0.2">
      <c r="A3" s="12" t="s">
        <v>29</v>
      </c>
      <c r="B3" s="9"/>
      <c r="C3" s="9" t="s">
        <v>50</v>
      </c>
      <c r="D3" s="23">
        <v>22</v>
      </c>
      <c r="E3" s="9">
        <v>21</v>
      </c>
      <c r="F3" s="9">
        <v>20</v>
      </c>
      <c r="G3" s="9">
        <v>22</v>
      </c>
      <c r="H3" s="9">
        <v>22</v>
      </c>
      <c r="I3" s="9">
        <v>20</v>
      </c>
      <c r="J3" s="9">
        <v>22</v>
      </c>
      <c r="K3" s="9">
        <v>22</v>
      </c>
      <c r="L3" s="9">
        <v>21</v>
      </c>
      <c r="M3" s="9">
        <v>21</v>
      </c>
      <c r="N3" s="9">
        <v>22</v>
      </c>
      <c r="O3" s="9">
        <v>20</v>
      </c>
      <c r="P3" s="9">
        <v>21</v>
      </c>
      <c r="Q3" s="12">
        <v>20</v>
      </c>
      <c r="R3" s="9">
        <v>21</v>
      </c>
      <c r="S3" s="9">
        <v>23</v>
      </c>
      <c r="T3" s="9">
        <v>21</v>
      </c>
      <c r="U3" s="9">
        <v>21</v>
      </c>
      <c r="V3" s="9">
        <v>22</v>
      </c>
      <c r="W3" s="9">
        <v>21</v>
      </c>
      <c r="X3" s="9">
        <v>23</v>
      </c>
      <c r="Y3" s="9">
        <v>21</v>
      </c>
      <c r="Z3" s="9">
        <v>21</v>
      </c>
      <c r="AA3" s="9">
        <v>21</v>
      </c>
      <c r="AB3" s="15">
        <v>21</v>
      </c>
    </row>
    <row r="4" spans="1:28" x14ac:dyDescent="0.2">
      <c r="A4" s="12"/>
      <c r="B4" s="9" t="s">
        <v>30</v>
      </c>
      <c r="C4" s="9"/>
      <c r="D4" s="45">
        <v>8523.74</v>
      </c>
      <c r="E4" s="46">
        <v>8556.86</v>
      </c>
      <c r="F4" s="46">
        <f t="shared" ref="F4:Q4" si="0">ROUND(0.8*(F13-F7),2)</f>
        <v>8538.69</v>
      </c>
      <c r="G4" s="46">
        <f t="shared" si="0"/>
        <v>9464.7099999999991</v>
      </c>
      <c r="H4" s="46">
        <f t="shared" si="0"/>
        <v>9570.9599999999991</v>
      </c>
      <c r="I4" s="46">
        <f t="shared" si="0"/>
        <v>8642.31</v>
      </c>
      <c r="J4" s="46">
        <f t="shared" si="0"/>
        <v>9205.94</v>
      </c>
      <c r="K4" s="39">
        <f t="shared" si="0"/>
        <v>9230.5400000000009</v>
      </c>
      <c r="L4" s="39">
        <f t="shared" si="0"/>
        <v>8810.9699999999993</v>
      </c>
      <c r="M4" s="39">
        <f t="shared" si="0"/>
        <v>8606.06</v>
      </c>
      <c r="N4" s="39">
        <f t="shared" si="0"/>
        <v>8801.2099999999991</v>
      </c>
      <c r="O4" s="39">
        <f t="shared" si="0"/>
        <v>7903.53</v>
      </c>
      <c r="P4" s="39">
        <f t="shared" si="0"/>
        <v>8136.29</v>
      </c>
      <c r="Q4" s="47">
        <f t="shared" si="0"/>
        <v>8149.39</v>
      </c>
      <c r="R4" s="39">
        <f>Q20</f>
        <v>7128.0100000000011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48">
        <v>0</v>
      </c>
    </row>
    <row r="5" spans="1:28" x14ac:dyDescent="0.2">
      <c r="A5" s="12"/>
      <c r="B5" s="9" t="s">
        <v>31</v>
      </c>
      <c r="C5" s="9"/>
      <c r="D5" s="45">
        <v>2130.9299999999998</v>
      </c>
      <c r="E5" s="46">
        <v>2139.2199999999998</v>
      </c>
      <c r="F5" s="46">
        <f t="shared" ref="F5:P5" si="1">ROUND(0.2*(F13-F7),2)</f>
        <v>2134.67</v>
      </c>
      <c r="G5" s="46">
        <f t="shared" si="1"/>
        <v>2366.1799999999998</v>
      </c>
      <c r="H5" s="46">
        <f t="shared" si="1"/>
        <v>2392.7399999999998</v>
      </c>
      <c r="I5" s="46">
        <f t="shared" si="1"/>
        <v>2160.58</v>
      </c>
      <c r="J5" s="46">
        <f t="shared" si="1"/>
        <v>2301.4899999999998</v>
      </c>
      <c r="K5" s="39">
        <f t="shared" si="1"/>
        <v>2307.63</v>
      </c>
      <c r="L5" s="39">
        <f t="shared" si="1"/>
        <v>2202.7399999999998</v>
      </c>
      <c r="M5" s="39">
        <f t="shared" si="1"/>
        <v>2151.52</v>
      </c>
      <c r="N5" s="39">
        <f t="shared" si="1"/>
        <v>2200.3000000000002</v>
      </c>
      <c r="O5" s="39">
        <f t="shared" si="1"/>
        <v>1975.88</v>
      </c>
      <c r="P5" s="39">
        <f t="shared" si="1"/>
        <v>2034.07</v>
      </c>
      <c r="Q5" s="47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48">
        <v>0</v>
      </c>
    </row>
    <row r="6" spans="1:28" x14ac:dyDescent="0.2">
      <c r="A6" s="12"/>
      <c r="B6" s="9" t="s">
        <v>101</v>
      </c>
      <c r="C6" s="9"/>
      <c r="D6" s="45"/>
      <c r="E6" s="46"/>
      <c r="F6" s="46"/>
      <c r="G6" s="46"/>
      <c r="H6" s="46"/>
      <c r="I6" s="46"/>
      <c r="J6" s="46"/>
      <c r="K6" s="39"/>
      <c r="L6" s="39"/>
      <c r="M6" s="39"/>
      <c r="N6" s="39"/>
      <c r="O6" s="39"/>
      <c r="P6" s="39"/>
      <c r="Q6" s="47">
        <f t="shared" ref="Q6:AB6" si="2">60000/12</f>
        <v>5000</v>
      </c>
      <c r="R6" s="39">
        <f t="shared" si="2"/>
        <v>5000</v>
      </c>
      <c r="S6" s="39">
        <f t="shared" si="2"/>
        <v>5000</v>
      </c>
      <c r="T6" s="39">
        <f t="shared" si="2"/>
        <v>5000</v>
      </c>
      <c r="U6" s="39">
        <f t="shared" si="2"/>
        <v>5000</v>
      </c>
      <c r="V6" s="39">
        <f t="shared" si="2"/>
        <v>5000</v>
      </c>
      <c r="W6" s="39">
        <f t="shared" si="2"/>
        <v>5000</v>
      </c>
      <c r="X6" s="39">
        <f t="shared" si="2"/>
        <v>5000</v>
      </c>
      <c r="Y6" s="39">
        <f t="shared" si="2"/>
        <v>5000</v>
      </c>
      <c r="Z6" s="39">
        <f t="shared" si="2"/>
        <v>5000</v>
      </c>
      <c r="AA6" s="39">
        <f t="shared" si="2"/>
        <v>5000</v>
      </c>
      <c r="AB6" s="48">
        <f t="shared" si="2"/>
        <v>5000</v>
      </c>
    </row>
    <row r="7" spans="1:28" x14ac:dyDescent="0.2">
      <c r="A7" s="12"/>
      <c r="B7" s="9" t="s">
        <v>38</v>
      </c>
      <c r="C7" s="9"/>
      <c r="D7" s="45">
        <v>2761.81</v>
      </c>
      <c r="E7" s="46">
        <v>2110.56</v>
      </c>
      <c r="F7" s="46">
        <v>1523.44</v>
      </c>
      <c r="G7" s="46">
        <v>1585.59</v>
      </c>
      <c r="H7" s="46">
        <v>1452.78</v>
      </c>
      <c r="I7" s="46">
        <v>1393.91</v>
      </c>
      <c r="J7" s="46">
        <v>1909.05</v>
      </c>
      <c r="K7" s="39">
        <f t="shared" ref="K7:AB7" si="3">K8*K13</f>
        <v>1878.3072000000004</v>
      </c>
      <c r="L7" s="39">
        <f t="shared" si="3"/>
        <v>1792.9296000000004</v>
      </c>
      <c r="M7" s="39">
        <f t="shared" si="3"/>
        <v>2049.0624000000003</v>
      </c>
      <c r="N7" s="39">
        <f t="shared" si="3"/>
        <v>2414.9664000000002</v>
      </c>
      <c r="O7" s="39">
        <f t="shared" si="3"/>
        <v>2317.3920000000003</v>
      </c>
      <c r="P7" s="39">
        <f t="shared" si="3"/>
        <v>2636.2731818181819</v>
      </c>
      <c r="Q7" s="47">
        <f t="shared" si="3"/>
        <v>2010.0571428571432</v>
      </c>
      <c r="R7" s="39">
        <f t="shared" si="3"/>
        <v>1599.6120000000003</v>
      </c>
      <c r="S7" s="39">
        <f t="shared" si="3"/>
        <v>1657.6622727272729</v>
      </c>
      <c r="T7" s="39">
        <f t="shared" si="3"/>
        <v>1386.7445454545457</v>
      </c>
      <c r="U7" s="39">
        <f t="shared" si="3"/>
        <v>1463.6055000000003</v>
      </c>
      <c r="V7" s="39">
        <f t="shared" si="3"/>
        <v>1909.0500000000004</v>
      </c>
      <c r="W7" s="39">
        <f t="shared" si="3"/>
        <v>1792.9296000000004</v>
      </c>
      <c r="X7" s="39">
        <f t="shared" si="3"/>
        <v>1963.6848000000005</v>
      </c>
      <c r="Y7" s="39">
        <f t="shared" si="3"/>
        <v>2049.0624000000003</v>
      </c>
      <c r="Z7" s="39">
        <f t="shared" si="3"/>
        <v>2305.1952000000001</v>
      </c>
      <c r="AA7" s="39">
        <f t="shared" si="3"/>
        <v>2433.2616000000003</v>
      </c>
      <c r="AB7" s="48">
        <f t="shared" si="3"/>
        <v>2636.2731818181819</v>
      </c>
    </row>
    <row r="8" spans="1:28" hidden="1" x14ac:dyDescent="0.2">
      <c r="A8" s="12"/>
      <c r="B8" s="9"/>
      <c r="C8" s="9" t="s">
        <v>51</v>
      </c>
      <c r="D8" s="49">
        <v>0.20585205657519706</v>
      </c>
      <c r="E8" s="50">
        <v>0.16480200895785313</v>
      </c>
      <c r="F8" s="50">
        <v>0.12490489308671128</v>
      </c>
      <c r="G8" s="50">
        <v>0.11818226539300919</v>
      </c>
      <c r="H8" s="50">
        <v>0.1082832456799399</v>
      </c>
      <c r="I8" s="50">
        <v>0.11428489439853078</v>
      </c>
      <c r="J8" s="50">
        <v>0.14229142070051162</v>
      </c>
      <c r="K8" s="40">
        <v>0.14000000000000001</v>
      </c>
      <c r="L8" s="40">
        <v>0.14000000000000001</v>
      </c>
      <c r="M8" s="40">
        <v>0.16</v>
      </c>
      <c r="N8" s="40">
        <v>0.18</v>
      </c>
      <c r="O8" s="40">
        <v>0.19</v>
      </c>
      <c r="P8" s="51">
        <v>0.20585205657519706</v>
      </c>
      <c r="Q8" s="52">
        <v>0.16480200895785313</v>
      </c>
      <c r="R8" s="51">
        <v>0.12490489308671128</v>
      </c>
      <c r="S8" s="51">
        <v>0.11818226539300919</v>
      </c>
      <c r="T8" s="51">
        <v>0.1082832456799399</v>
      </c>
      <c r="U8" s="51">
        <v>0.11428489439853078</v>
      </c>
      <c r="V8" s="51">
        <v>0.14229142070051162</v>
      </c>
      <c r="W8" s="40">
        <v>0.14000000000000001</v>
      </c>
      <c r="X8" s="40">
        <v>0.14000000000000001</v>
      </c>
      <c r="Y8" s="40">
        <v>0.16</v>
      </c>
      <c r="Z8" s="40">
        <v>0.18</v>
      </c>
      <c r="AA8" s="40">
        <v>0.19</v>
      </c>
      <c r="AB8" s="53">
        <v>0.20585205657519706</v>
      </c>
    </row>
    <row r="9" spans="1:28" x14ac:dyDescent="0.2">
      <c r="A9" s="12"/>
      <c r="B9" s="44" t="s">
        <v>59</v>
      </c>
      <c r="C9" s="9"/>
      <c r="D9" s="49"/>
      <c r="E9" s="50"/>
      <c r="F9" s="50"/>
      <c r="G9" s="50"/>
      <c r="H9" s="50"/>
      <c r="I9" s="50"/>
      <c r="J9" s="50"/>
      <c r="K9" s="40"/>
      <c r="L9" s="40"/>
      <c r="M9" s="40"/>
      <c r="N9" s="40"/>
      <c r="O9" s="40"/>
      <c r="P9" s="51"/>
      <c r="Q9" s="52">
        <v>12500</v>
      </c>
      <c r="R9" s="51"/>
      <c r="S9" s="51"/>
      <c r="T9" s="51"/>
      <c r="U9" s="51"/>
      <c r="V9" s="51"/>
      <c r="W9" s="40"/>
      <c r="X9" s="40"/>
      <c r="Y9" s="40"/>
      <c r="Z9" s="40"/>
      <c r="AA9" s="40"/>
      <c r="AB9" s="53"/>
    </row>
    <row r="10" spans="1:28" x14ac:dyDescent="0.2">
      <c r="A10" s="12"/>
      <c r="B10" s="44" t="s">
        <v>60</v>
      </c>
      <c r="C10" s="9"/>
      <c r="D10" s="49"/>
      <c r="E10" s="50"/>
      <c r="F10" s="50"/>
      <c r="G10" s="50"/>
      <c r="H10" s="50"/>
      <c r="I10" s="50"/>
      <c r="J10" s="50"/>
      <c r="K10" s="40"/>
      <c r="L10" s="40"/>
      <c r="M10" s="40"/>
      <c r="N10" s="40"/>
      <c r="O10" s="40"/>
      <c r="P10" s="51"/>
      <c r="Q10" s="52">
        <v>25000</v>
      </c>
      <c r="R10" s="51"/>
      <c r="S10" s="51"/>
      <c r="T10" s="51"/>
      <c r="U10" s="51"/>
      <c r="V10" s="51"/>
      <c r="W10" s="40"/>
      <c r="X10" s="40"/>
      <c r="Y10" s="40"/>
      <c r="Z10" s="40"/>
      <c r="AA10" s="40"/>
      <c r="AB10" s="53"/>
    </row>
    <row r="11" spans="1:28" x14ac:dyDescent="0.2">
      <c r="A11" s="12"/>
      <c r="B11" s="9"/>
      <c r="C11" s="9"/>
      <c r="D11" s="54"/>
      <c r="E11" s="55"/>
      <c r="F11" s="55"/>
      <c r="G11" s="55"/>
      <c r="H11" s="55"/>
      <c r="I11" s="55"/>
      <c r="J11" s="55"/>
      <c r="K11" s="40"/>
      <c r="L11" s="40"/>
      <c r="M11" s="40"/>
      <c r="N11" s="40"/>
      <c r="O11" s="40"/>
      <c r="P11" s="40"/>
      <c r="Q11" s="56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</row>
    <row r="12" spans="1:28" x14ac:dyDescent="0.2">
      <c r="A12" s="12" t="s">
        <v>32</v>
      </c>
      <c r="B12" s="9"/>
      <c r="C12" s="9"/>
      <c r="D12" s="54"/>
      <c r="E12" s="55"/>
      <c r="F12" s="55"/>
      <c r="G12" s="55"/>
      <c r="H12" s="55"/>
      <c r="I12" s="55"/>
      <c r="J12" s="55"/>
      <c r="K12" s="40"/>
      <c r="L12" s="40"/>
      <c r="M12" s="40"/>
      <c r="N12" s="40"/>
      <c r="O12" s="40"/>
      <c r="P12" s="40"/>
      <c r="Q12" s="56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x14ac:dyDescent="0.2">
      <c r="A13" s="12"/>
      <c r="B13" s="9" t="s">
        <v>33</v>
      </c>
      <c r="C13" s="9"/>
      <c r="D13" s="45">
        <f>SUM(D4:D7)</f>
        <v>13416.48</v>
      </c>
      <c r="E13" s="46">
        <f>SUM(E4:E7)</f>
        <v>12806.64</v>
      </c>
      <c r="F13" s="46">
        <f>3049.2*4</f>
        <v>12196.8</v>
      </c>
      <c r="G13" s="46">
        <f>3049.2*4+1219.68</f>
        <v>13416.48</v>
      </c>
      <c r="H13" s="46">
        <f>3049.2*3+1829.52+2439.36</f>
        <v>13416.48</v>
      </c>
      <c r="I13" s="46">
        <f>3049.2*3+609.84+2439.36</f>
        <v>12196.8</v>
      </c>
      <c r="J13" s="46">
        <f>3049.2*4+1219.68</f>
        <v>13416.48</v>
      </c>
      <c r="K13" s="39">
        <f t="shared" ref="K13:AB13" si="4">609.84*K3</f>
        <v>13416.480000000001</v>
      </c>
      <c r="L13" s="39">
        <f t="shared" si="4"/>
        <v>12806.640000000001</v>
      </c>
      <c r="M13" s="39">
        <f t="shared" si="4"/>
        <v>12806.640000000001</v>
      </c>
      <c r="N13" s="39">
        <f t="shared" si="4"/>
        <v>13416.480000000001</v>
      </c>
      <c r="O13" s="39">
        <f t="shared" si="4"/>
        <v>12196.800000000001</v>
      </c>
      <c r="P13" s="39">
        <f t="shared" si="4"/>
        <v>12806.640000000001</v>
      </c>
      <c r="Q13" s="47">
        <f t="shared" si="4"/>
        <v>12196.800000000001</v>
      </c>
      <c r="R13" s="39">
        <f t="shared" si="4"/>
        <v>12806.640000000001</v>
      </c>
      <c r="S13" s="39">
        <f t="shared" si="4"/>
        <v>14026.320000000002</v>
      </c>
      <c r="T13" s="39">
        <f t="shared" si="4"/>
        <v>12806.640000000001</v>
      </c>
      <c r="U13" s="39">
        <f t="shared" si="4"/>
        <v>12806.640000000001</v>
      </c>
      <c r="V13" s="39">
        <f t="shared" si="4"/>
        <v>13416.480000000001</v>
      </c>
      <c r="W13" s="39">
        <f t="shared" si="4"/>
        <v>12806.640000000001</v>
      </c>
      <c r="X13" s="39">
        <f t="shared" si="4"/>
        <v>14026.320000000002</v>
      </c>
      <c r="Y13" s="39">
        <f t="shared" si="4"/>
        <v>12806.640000000001</v>
      </c>
      <c r="Z13" s="39">
        <f t="shared" si="4"/>
        <v>12806.640000000001</v>
      </c>
      <c r="AA13" s="39">
        <f t="shared" si="4"/>
        <v>12806.640000000001</v>
      </c>
      <c r="AB13" s="48">
        <f t="shared" si="4"/>
        <v>12806.640000000001</v>
      </c>
    </row>
    <row r="14" spans="1:28" x14ac:dyDescent="0.2">
      <c r="A14" s="12"/>
      <c r="B14" s="9" t="s">
        <v>34</v>
      </c>
      <c r="C14" s="9"/>
      <c r="D14" s="54"/>
      <c r="E14" s="55"/>
      <c r="F14" s="55"/>
      <c r="G14" s="55"/>
      <c r="H14" s="55"/>
      <c r="I14" s="55"/>
      <c r="J14" s="55"/>
      <c r="K14" s="40"/>
      <c r="L14" s="40"/>
      <c r="M14" s="40"/>
      <c r="N14" s="40"/>
      <c r="O14" s="40"/>
      <c r="P14" s="40"/>
      <c r="Q14" s="56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x14ac:dyDescent="0.2">
      <c r="A15" s="12"/>
      <c r="B15" s="9" t="s">
        <v>35</v>
      </c>
      <c r="C15" s="9"/>
      <c r="D15" s="54"/>
      <c r="E15" s="55"/>
      <c r="F15" s="55"/>
      <c r="G15" s="55"/>
      <c r="H15" s="55"/>
      <c r="I15" s="55"/>
      <c r="J15" s="55"/>
      <c r="K15" s="40"/>
      <c r="L15" s="40"/>
      <c r="M15" s="40"/>
      <c r="N15" s="40"/>
      <c r="O15" s="40"/>
      <c r="P15" s="40"/>
      <c r="Q15" s="56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/>
    </row>
    <row r="16" spans="1:28" x14ac:dyDescent="0.2">
      <c r="A16" s="12"/>
      <c r="B16" s="9"/>
      <c r="C16" s="9"/>
      <c r="D16" s="54"/>
      <c r="E16" s="55"/>
      <c r="F16" s="55"/>
      <c r="G16" s="55"/>
      <c r="H16" s="55"/>
      <c r="I16" s="55"/>
      <c r="J16" s="55"/>
      <c r="K16" s="40"/>
      <c r="L16" s="40"/>
      <c r="M16" s="40"/>
      <c r="N16" s="40"/>
      <c r="O16" s="40"/>
      <c r="P16" s="40"/>
      <c r="Q16" s="5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x14ac:dyDescent="0.2">
      <c r="A17" s="12" t="s">
        <v>36</v>
      </c>
      <c r="B17" s="9"/>
      <c r="C17" s="9"/>
      <c r="D17" s="54"/>
      <c r="E17" s="55"/>
      <c r="F17" s="55"/>
      <c r="G17" s="55"/>
      <c r="H17" s="55"/>
      <c r="I17" s="55"/>
      <c r="J17" s="55"/>
      <c r="K17" s="40"/>
      <c r="L17" s="40"/>
      <c r="M17" s="40"/>
      <c r="N17" s="40"/>
      <c r="O17" s="40"/>
      <c r="P17" s="40"/>
      <c r="Q17" s="56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1"/>
    </row>
    <row r="18" spans="1:28" x14ac:dyDescent="0.2">
      <c r="A18" s="19"/>
      <c r="B18" s="20" t="s">
        <v>37</v>
      </c>
      <c r="C18" s="20"/>
      <c r="D18" s="57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42">
        <f t="shared" ref="K18:R18" si="5">SUM(K4:K10)-SUM(K13:K15)+J18</f>
        <v>0.13720000000103028</v>
      </c>
      <c r="L18" s="42">
        <f t="shared" si="5"/>
        <v>0.27679999999782012</v>
      </c>
      <c r="M18" s="42">
        <f t="shared" si="5"/>
        <v>0.43919999999707215</v>
      </c>
      <c r="N18" s="42">
        <f t="shared" si="5"/>
        <v>0.61559999999553838</v>
      </c>
      <c r="O18" s="42">
        <f t="shared" si="5"/>
        <v>0.80759999999463616</v>
      </c>
      <c r="P18" s="42">
        <f t="shared" si="5"/>
        <v>1.0066338747510599</v>
      </c>
      <c r="Q18" s="59">
        <f t="shared" si="5"/>
        <v>40463.818578740851</v>
      </c>
      <c r="R18" s="42">
        <f t="shared" si="5"/>
        <v>41384.925483633939</v>
      </c>
      <c r="S18" s="42">
        <f t="shared" ref="S18:AB18" si="6">SUM(S4:S7)-SUM(S13:S15)+R18</f>
        <v>34016.267756361209</v>
      </c>
      <c r="T18" s="42">
        <f t="shared" si="6"/>
        <v>27596.372301815754</v>
      </c>
      <c r="U18" s="42">
        <f t="shared" si="6"/>
        <v>21253.337801815753</v>
      </c>
      <c r="V18" s="42">
        <f t="shared" si="6"/>
        <v>14745.907801815752</v>
      </c>
      <c r="W18" s="42">
        <f t="shared" si="6"/>
        <v>8732.1974018157525</v>
      </c>
      <c r="X18" s="42">
        <f t="shared" si="6"/>
        <v>1669.5622018157519</v>
      </c>
      <c r="Y18" s="42">
        <f t="shared" si="6"/>
        <v>-4088.0153981842486</v>
      </c>
      <c r="Z18" s="42">
        <f t="shared" si="6"/>
        <v>-9589.4601981842497</v>
      </c>
      <c r="AA18" s="42">
        <f t="shared" si="6"/>
        <v>-14962.838598184251</v>
      </c>
      <c r="AB18" s="43">
        <f t="shared" si="6"/>
        <v>-20133.205416366072</v>
      </c>
    </row>
    <row r="20" spans="1:28" x14ac:dyDescent="0.2">
      <c r="A20" t="s">
        <v>52</v>
      </c>
      <c r="J20" s="30">
        <v>66766</v>
      </c>
      <c r="K20" s="31">
        <f t="shared" ref="K20:AB21" si="7">J20-K4</f>
        <v>57535.46</v>
      </c>
      <c r="L20" s="31">
        <f t="shared" si="7"/>
        <v>48724.49</v>
      </c>
      <c r="M20" s="31">
        <f t="shared" si="7"/>
        <v>40118.43</v>
      </c>
      <c r="N20" s="31">
        <f t="shared" si="7"/>
        <v>31317.22</v>
      </c>
      <c r="O20" s="31">
        <f t="shared" si="7"/>
        <v>23413.690000000002</v>
      </c>
      <c r="P20" s="31">
        <f t="shared" si="7"/>
        <v>15277.400000000001</v>
      </c>
      <c r="Q20" s="31">
        <f t="shared" si="7"/>
        <v>7128.0100000000011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</row>
    <row r="21" spans="1:28" x14ac:dyDescent="0.2">
      <c r="A21" t="s">
        <v>102</v>
      </c>
      <c r="J21" s="31">
        <f>83458-J20</f>
        <v>16692</v>
      </c>
      <c r="K21" s="31">
        <f t="shared" si="7"/>
        <v>14384.369999999999</v>
      </c>
      <c r="L21" s="31">
        <f t="shared" si="7"/>
        <v>12181.63</v>
      </c>
      <c r="M21" s="31">
        <f t="shared" si="7"/>
        <v>10030.109999999999</v>
      </c>
      <c r="N21" s="31">
        <f t="shared" si="7"/>
        <v>7829.8099999999986</v>
      </c>
      <c r="O21" s="31">
        <f t="shared" si="7"/>
        <v>5853.9299999999985</v>
      </c>
      <c r="P21" s="31">
        <v>0</v>
      </c>
      <c r="Q21" s="31">
        <f t="shared" si="7"/>
        <v>0</v>
      </c>
      <c r="R21" s="31">
        <f t="shared" si="7"/>
        <v>0</v>
      </c>
      <c r="S21" s="31">
        <f t="shared" si="7"/>
        <v>0</v>
      </c>
      <c r="T21" s="31">
        <f t="shared" si="7"/>
        <v>0</v>
      </c>
      <c r="U21" s="31">
        <f t="shared" si="7"/>
        <v>0</v>
      </c>
      <c r="V21" s="31">
        <f t="shared" si="7"/>
        <v>0</v>
      </c>
      <c r="W21" s="31">
        <f t="shared" si="7"/>
        <v>0</v>
      </c>
      <c r="X21" s="31">
        <f t="shared" si="7"/>
        <v>0</v>
      </c>
      <c r="Y21" s="31">
        <f t="shared" si="7"/>
        <v>0</v>
      </c>
      <c r="Z21" s="31">
        <f t="shared" si="7"/>
        <v>0</v>
      </c>
      <c r="AA21" s="31">
        <f t="shared" si="7"/>
        <v>0</v>
      </c>
      <c r="AB21" s="31">
        <f t="shared" si="7"/>
        <v>0</v>
      </c>
    </row>
    <row r="24" spans="1:28" x14ac:dyDescent="0.2">
      <c r="A24" t="s">
        <v>61</v>
      </c>
    </row>
    <row r="25" spans="1:28" x14ac:dyDescent="0.2">
      <c r="B25" t="s">
        <v>65</v>
      </c>
    </row>
    <row r="26" spans="1:28" x14ac:dyDescent="0.2">
      <c r="B26" t="s">
        <v>62</v>
      </c>
    </row>
    <row r="27" spans="1:28" x14ac:dyDescent="0.2">
      <c r="B27" t="s">
        <v>63</v>
      </c>
    </row>
    <row r="28" spans="1:28" x14ac:dyDescent="0.2">
      <c r="B28" t="s">
        <v>64</v>
      </c>
    </row>
    <row r="30" spans="1:28" x14ac:dyDescent="0.2">
      <c r="A30" t="s">
        <v>70</v>
      </c>
    </row>
    <row r="31" spans="1:28" x14ac:dyDescent="0.2">
      <c r="B31" t="s">
        <v>71</v>
      </c>
      <c r="E31" s="30">
        <v>11000</v>
      </c>
      <c r="F31" t="s">
        <v>72</v>
      </c>
    </row>
    <row r="32" spans="1:28" x14ac:dyDescent="0.2">
      <c r="F32" t="s">
        <v>73</v>
      </c>
    </row>
  </sheetData>
  <mergeCells count="2">
    <mergeCell ref="E1:P1"/>
    <mergeCell ref="Q1:A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pageSetUpPr fitToPage="1"/>
  </sheetPr>
  <dimension ref="A1:K20"/>
  <sheetViews>
    <sheetView workbookViewId="0">
      <selection activeCell="D11" sqref="D11:E11"/>
    </sheetView>
  </sheetViews>
  <sheetFormatPr baseColWidth="10" defaultColWidth="8.83203125" defaultRowHeight="15" x14ac:dyDescent="0.2"/>
  <cols>
    <col min="4" max="7" width="11.83203125" bestFit="1" customWidth="1"/>
    <col min="8" max="8" width="12.33203125" bestFit="1" customWidth="1"/>
    <col min="9" max="11" width="13.5" bestFit="1" customWidth="1"/>
  </cols>
  <sheetData>
    <row r="1" spans="1:11" ht="31" x14ac:dyDescent="0.45">
      <c r="A1" s="81" t="s">
        <v>85</v>
      </c>
    </row>
    <row r="2" spans="1:11" x14ac:dyDescent="0.2">
      <c r="A2" s="10"/>
      <c r="B2" s="10"/>
      <c r="C2" s="11"/>
      <c r="D2" s="183">
        <v>2015</v>
      </c>
      <c r="E2" s="182"/>
      <c r="F2" s="182"/>
      <c r="G2" s="184"/>
      <c r="H2" s="182">
        <v>2016</v>
      </c>
      <c r="I2" s="182"/>
      <c r="J2" s="182"/>
      <c r="K2" s="184"/>
    </row>
    <row r="3" spans="1:11" x14ac:dyDescent="0.2">
      <c r="A3" s="12"/>
      <c r="B3" s="12"/>
      <c r="C3" s="9"/>
      <c r="D3" s="35" t="s">
        <v>54</v>
      </c>
      <c r="E3" s="36" t="s">
        <v>55</v>
      </c>
      <c r="F3" s="36" t="s">
        <v>56</v>
      </c>
      <c r="G3" s="37" t="s">
        <v>57</v>
      </c>
      <c r="H3" s="36" t="s">
        <v>54</v>
      </c>
      <c r="I3" s="36" t="s">
        <v>55</v>
      </c>
      <c r="J3" s="36" t="s">
        <v>56</v>
      </c>
      <c r="K3" s="37" t="s">
        <v>57</v>
      </c>
    </row>
    <row r="4" spans="1:11" x14ac:dyDescent="0.2">
      <c r="A4" s="12" t="s">
        <v>29</v>
      </c>
      <c r="B4" s="12"/>
      <c r="C4" s="9" t="s">
        <v>50</v>
      </c>
      <c r="D4" s="12">
        <f>SUM(Finances!E3:G3)</f>
        <v>63</v>
      </c>
      <c r="E4" s="9">
        <f>SUM(Finances!H3:J3)</f>
        <v>64</v>
      </c>
      <c r="F4" s="9">
        <f>SUM(Finances!K3:M3)</f>
        <v>64</v>
      </c>
      <c r="G4" s="15">
        <f>SUM(Finances!N3:P3)</f>
        <v>63</v>
      </c>
      <c r="H4" s="9">
        <f>SUM(Finances!Q3:S3)</f>
        <v>64</v>
      </c>
      <c r="I4" s="9">
        <f>SUM(Finances!T3:V3)</f>
        <v>64</v>
      </c>
      <c r="J4" s="9">
        <f>SUM(Finances!W3:Y3)</f>
        <v>65</v>
      </c>
      <c r="K4" s="15">
        <f>SUM(Finances!Z3:AB3)</f>
        <v>63</v>
      </c>
    </row>
    <row r="5" spans="1:11" x14ac:dyDescent="0.2">
      <c r="A5" s="12"/>
      <c r="B5" s="12" t="s">
        <v>30</v>
      </c>
      <c r="C5" s="9"/>
      <c r="D5" s="47">
        <f>SUM(Finances!E4:G4)</f>
        <v>26560.260000000002</v>
      </c>
      <c r="E5" s="39">
        <f>SUM(Finances!H4:J4)</f>
        <v>27419.21</v>
      </c>
      <c r="F5" s="39">
        <f>SUM(Finances!K4:M4)</f>
        <v>26647.57</v>
      </c>
      <c r="G5" s="48">
        <f>SUM(Finances!N4:P4)</f>
        <v>24841.03</v>
      </c>
      <c r="H5" s="39">
        <f>SUM(Finances!Q4:S4)</f>
        <v>15277.39</v>
      </c>
      <c r="I5" s="39">
        <f>SUM(Finances!T4:V4)</f>
        <v>0</v>
      </c>
      <c r="J5" s="39">
        <f>SUM(Finances!W4:Y4)</f>
        <v>0</v>
      </c>
      <c r="K5" s="48">
        <f>SUM(Finances!Z4:AB4)</f>
        <v>0</v>
      </c>
    </row>
    <row r="6" spans="1:11" x14ac:dyDescent="0.2">
      <c r="A6" s="12"/>
      <c r="B6" s="12" t="s">
        <v>31</v>
      </c>
      <c r="C6" s="9"/>
      <c r="D6" s="47">
        <f>SUM(Finances!E5:G5)</f>
        <v>6640.07</v>
      </c>
      <c r="E6" s="39">
        <f>SUM(Finances!H5:J5)</f>
        <v>6854.8099999999995</v>
      </c>
      <c r="F6" s="39">
        <f>SUM(Finances!K5:M5)</f>
        <v>6661.8899999999994</v>
      </c>
      <c r="G6" s="48">
        <f>SUM(Finances!N5:P5)</f>
        <v>6210.25</v>
      </c>
      <c r="H6" s="39">
        <f>SUM(Finances!Q5:S5)</f>
        <v>3820.35</v>
      </c>
      <c r="I6" s="39">
        <f>SUM(Finances!T5:V5)</f>
        <v>0</v>
      </c>
      <c r="J6" s="39">
        <f>SUM(Finances!W5:Y5)</f>
        <v>0</v>
      </c>
      <c r="K6" s="48">
        <f>SUM(Finances!Z5:AB5)</f>
        <v>0</v>
      </c>
    </row>
    <row r="7" spans="1:11" x14ac:dyDescent="0.2">
      <c r="A7" s="12"/>
      <c r="B7" s="12" t="s">
        <v>38</v>
      </c>
      <c r="C7" s="9"/>
      <c r="D7" s="47">
        <f>SUM(Finances!E6:G6)</f>
        <v>5219.59</v>
      </c>
      <c r="E7" s="39">
        <f>SUM(Finances!H6:J6)</f>
        <v>4755.74</v>
      </c>
      <c r="F7" s="39">
        <f>SUM(Finances!K6:M6)</f>
        <v>5720.2992000000013</v>
      </c>
      <c r="G7" s="48">
        <f>SUM(Finances!N6:P6)</f>
        <v>7368.6315818181829</v>
      </c>
      <c r="H7" s="39">
        <f>SUM(Finances!Q6:S6)</f>
        <v>5267.3314155844164</v>
      </c>
      <c r="I7" s="39">
        <f>SUM(Finances!T6:V6)</f>
        <v>4759.4000454545467</v>
      </c>
      <c r="J7" s="39">
        <f>SUM(Finances!W6:Y6)</f>
        <v>5805.6768000000011</v>
      </c>
      <c r="K7" s="48">
        <f>SUM(Finances!Z6:AB6)</f>
        <v>7374.7299818181818</v>
      </c>
    </row>
    <row r="8" spans="1:11" x14ac:dyDescent="0.2">
      <c r="A8" s="12"/>
      <c r="B8" s="12"/>
      <c r="C8" s="9" t="s">
        <v>51</v>
      </c>
      <c r="D8" s="47"/>
      <c r="E8" s="39"/>
      <c r="F8" s="39"/>
      <c r="G8" s="48"/>
      <c r="H8" s="39"/>
      <c r="I8" s="39"/>
      <c r="J8" s="39"/>
      <c r="K8" s="48"/>
    </row>
    <row r="9" spans="1:11" x14ac:dyDescent="0.2">
      <c r="A9" s="12"/>
      <c r="B9" s="12"/>
      <c r="C9" s="9"/>
      <c r="D9" s="47"/>
      <c r="E9" s="39"/>
      <c r="F9" s="39"/>
      <c r="G9" s="48"/>
      <c r="H9" s="39"/>
      <c r="I9" s="39"/>
      <c r="J9" s="39"/>
      <c r="K9" s="48"/>
    </row>
    <row r="10" spans="1:11" x14ac:dyDescent="0.2">
      <c r="A10" s="12" t="s">
        <v>32</v>
      </c>
      <c r="B10" s="12"/>
      <c r="C10" s="9"/>
      <c r="D10" s="47"/>
      <c r="E10" s="39"/>
      <c r="F10" s="39"/>
      <c r="G10" s="48"/>
      <c r="H10" s="39"/>
      <c r="I10" s="39"/>
      <c r="J10" s="39"/>
      <c r="K10" s="48"/>
    </row>
    <row r="11" spans="1:11" x14ac:dyDescent="0.2">
      <c r="A11" s="12"/>
      <c r="B11" s="12" t="s">
        <v>33</v>
      </c>
      <c r="C11" s="9"/>
      <c r="D11" s="47">
        <f>SUM(Finances!E10:G10)</f>
        <v>38419.919999999998</v>
      </c>
      <c r="E11" s="39">
        <f>SUM(Finances!H10:J10)</f>
        <v>39029.759999999995</v>
      </c>
      <c r="F11" s="39">
        <f>SUM(Finances!K10:M10)</f>
        <v>39029.760000000002</v>
      </c>
      <c r="G11" s="48">
        <f>SUM(Finances!N10:P10)</f>
        <v>38419.920000000006</v>
      </c>
      <c r="H11" s="39">
        <f>SUM(Finances!Q10:S10)</f>
        <v>39029.760000000002</v>
      </c>
      <c r="I11" s="39">
        <f>SUM(Finances!T10:V10)</f>
        <v>39029.760000000002</v>
      </c>
      <c r="J11" s="39">
        <f>SUM(Finances!W10:Y10)</f>
        <v>39639.600000000006</v>
      </c>
      <c r="K11" s="48">
        <f>SUM(Finances!Z10:AB10)</f>
        <v>38419.920000000006</v>
      </c>
    </row>
    <row r="12" spans="1:11" x14ac:dyDescent="0.2">
      <c r="A12" s="12"/>
      <c r="B12" s="12" t="s">
        <v>34</v>
      </c>
      <c r="C12" s="9"/>
      <c r="D12" s="47">
        <f>SUM(Finances!E11:G11)</f>
        <v>0</v>
      </c>
      <c r="E12" s="39">
        <f>SUM(Finances!H11:J11)</f>
        <v>0</v>
      </c>
      <c r="F12" s="39">
        <f>SUM(Finances!K11:M11)</f>
        <v>0</v>
      </c>
      <c r="G12" s="48">
        <f>SUM(Finances!N11:P11)</f>
        <v>0</v>
      </c>
      <c r="H12" s="39">
        <f>SUM(Finances!Q11:S11)</f>
        <v>0</v>
      </c>
      <c r="I12" s="39">
        <f>SUM(Finances!T11:V11)</f>
        <v>0</v>
      </c>
      <c r="J12" s="39">
        <f>SUM(Finances!W11:Y11)</f>
        <v>0</v>
      </c>
      <c r="K12" s="48">
        <f>SUM(Finances!Z11:AB11)</f>
        <v>0</v>
      </c>
    </row>
    <row r="13" spans="1:11" x14ac:dyDescent="0.2">
      <c r="A13" s="12"/>
      <c r="B13" s="12" t="s">
        <v>35</v>
      </c>
      <c r="C13" s="9"/>
      <c r="D13" s="47">
        <f>SUM(Finances!E12:G12)</f>
        <v>0</v>
      </c>
      <c r="E13" s="39">
        <f>SUM(Finances!H12:J12)</f>
        <v>0</v>
      </c>
      <c r="F13" s="39">
        <f>SUM(Finances!K12:M12)</f>
        <v>0</v>
      </c>
      <c r="G13" s="48">
        <f>SUM(Finances!N12:P12)</f>
        <v>0</v>
      </c>
      <c r="H13" s="39">
        <f>SUM(Finances!Q12:S12)</f>
        <v>0</v>
      </c>
      <c r="I13" s="39">
        <f>SUM(Finances!T12:V12)</f>
        <v>0</v>
      </c>
      <c r="J13" s="39">
        <f>SUM(Finances!W12:Y12)</f>
        <v>0</v>
      </c>
      <c r="K13" s="48">
        <f>SUM(Finances!Z12:AB12)</f>
        <v>0</v>
      </c>
    </row>
    <row r="14" spans="1:11" x14ac:dyDescent="0.2">
      <c r="A14" s="12"/>
      <c r="B14" s="12"/>
      <c r="C14" s="9"/>
      <c r="D14" s="47"/>
      <c r="E14" s="39"/>
      <c r="F14" s="39"/>
      <c r="G14" s="48"/>
      <c r="H14" s="39"/>
      <c r="I14" s="39"/>
      <c r="J14" s="39"/>
      <c r="K14" s="48"/>
    </row>
    <row r="15" spans="1:11" x14ac:dyDescent="0.2">
      <c r="A15" s="12" t="s">
        <v>36</v>
      </c>
      <c r="B15" s="12"/>
      <c r="C15" s="9"/>
      <c r="D15" s="47"/>
      <c r="E15" s="39"/>
      <c r="F15" s="39"/>
      <c r="G15" s="48"/>
      <c r="H15" s="39"/>
      <c r="I15" s="39"/>
      <c r="J15" s="39"/>
      <c r="K15" s="48"/>
    </row>
    <row r="16" spans="1:11" x14ac:dyDescent="0.2">
      <c r="A16" s="19"/>
      <c r="B16" s="19" t="s">
        <v>37</v>
      </c>
      <c r="C16" s="20"/>
      <c r="D16" s="70">
        <f>SUM(Finances!E15:G15)</f>
        <v>0</v>
      </c>
      <c r="E16" s="71">
        <f>SUM(Finances!H15:J15)</f>
        <v>0</v>
      </c>
      <c r="F16" s="71">
        <f>SUM(Finances!K15:M15)</f>
        <v>-6.8000000010215444E-3</v>
      </c>
      <c r="G16" s="72">
        <f>SUM(Finances!N15:P15)</f>
        <v>-1.6018181831896072E-2</v>
      </c>
      <c r="H16" s="71">
        <f>Finances!S15</f>
        <v>-14664.697802597409</v>
      </c>
      <c r="I16" s="71">
        <f>Finances!V15</f>
        <v>-48935.057757142866</v>
      </c>
      <c r="J16" s="71">
        <f>Finances!Y15</f>
        <v>-82768.980957142878</v>
      </c>
      <c r="K16" s="72">
        <f>Finances!AB15</f>
        <v>-113814.1709753247</v>
      </c>
    </row>
    <row r="17" spans="1:11" x14ac:dyDescent="0.2">
      <c r="A17" s="10"/>
      <c r="B17" s="11"/>
      <c r="C17" s="11"/>
      <c r="D17" s="73"/>
      <c r="E17" s="74"/>
      <c r="F17" s="74"/>
      <c r="G17" s="75"/>
      <c r="H17" s="74"/>
      <c r="I17" s="74"/>
      <c r="J17" s="74"/>
      <c r="K17" s="75"/>
    </row>
    <row r="18" spans="1:11" x14ac:dyDescent="0.2">
      <c r="A18" s="12" t="s">
        <v>52</v>
      </c>
      <c r="B18" s="9"/>
      <c r="C18" s="9"/>
      <c r="D18" s="47">
        <f>SUM(Finances!E17:G17)</f>
        <v>0</v>
      </c>
      <c r="E18" s="39">
        <v>66766</v>
      </c>
      <c r="F18" s="40">
        <f>E18-F5</f>
        <v>40118.43</v>
      </c>
      <c r="G18" s="41">
        <f t="shared" ref="G18:I19" si="0">F18-G5</f>
        <v>15277.400000000001</v>
      </c>
      <c r="H18" s="40">
        <f t="shared" si="0"/>
        <v>1.0000000002037268E-2</v>
      </c>
      <c r="I18" s="40">
        <f t="shared" si="0"/>
        <v>1.0000000002037268E-2</v>
      </c>
      <c r="J18" s="40">
        <f>I18-J5</f>
        <v>1.0000000002037268E-2</v>
      </c>
      <c r="K18" s="41">
        <f>J18-K5</f>
        <v>1.0000000002037268E-2</v>
      </c>
    </row>
    <row r="19" spans="1:11" x14ac:dyDescent="0.2">
      <c r="A19" s="19" t="s">
        <v>53</v>
      </c>
      <c r="B19" s="20"/>
      <c r="C19" s="20"/>
      <c r="D19" s="70">
        <f>SUM(Finances!E18:G18)</f>
        <v>0</v>
      </c>
      <c r="E19" s="42">
        <f>83458-E18</f>
        <v>16692</v>
      </c>
      <c r="F19" s="42">
        <f>E19-F6</f>
        <v>10030.11</v>
      </c>
      <c r="G19" s="43">
        <f t="shared" si="0"/>
        <v>3819.8600000000006</v>
      </c>
      <c r="H19" s="42">
        <f t="shared" si="0"/>
        <v>-0.48999999999932697</v>
      </c>
      <c r="I19" s="42">
        <f t="shared" si="0"/>
        <v>-0.48999999999932697</v>
      </c>
      <c r="J19" s="42">
        <f>I19-J6</f>
        <v>-0.48999999999932697</v>
      </c>
      <c r="K19" s="43">
        <f>J19-K6</f>
        <v>-0.48999999999932697</v>
      </c>
    </row>
    <row r="20" spans="1:11" x14ac:dyDescent="0.2">
      <c r="C20" t="s">
        <v>58</v>
      </c>
      <c r="D20" s="31"/>
      <c r="E20" s="31">
        <f>SUM(E18:E19)</f>
        <v>83458</v>
      </c>
      <c r="F20" s="31">
        <f t="shared" ref="F20:K20" si="1">SUM(F18:F19)</f>
        <v>50148.54</v>
      </c>
      <c r="G20" s="31">
        <f t="shared" si="1"/>
        <v>19097.260000000002</v>
      </c>
      <c r="H20" s="31">
        <f t="shared" si="1"/>
        <v>-0.47999999999728971</v>
      </c>
      <c r="I20" s="31">
        <f t="shared" si="1"/>
        <v>-0.47999999999728971</v>
      </c>
      <c r="J20" s="31">
        <f t="shared" si="1"/>
        <v>-0.47999999999728971</v>
      </c>
      <c r="K20" s="31">
        <f t="shared" si="1"/>
        <v>-0.47999999999728971</v>
      </c>
    </row>
  </sheetData>
  <mergeCells count="2">
    <mergeCell ref="D2:G2"/>
    <mergeCell ref="H2:K2"/>
  </mergeCell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20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Ridership</vt:lpstr>
      <vt:lpstr>Finances</vt:lpstr>
      <vt:lpstr>Opt1subsidies</vt:lpstr>
      <vt:lpstr>Opt2Costs</vt:lpstr>
      <vt:lpstr>Opt2_5</vt:lpstr>
      <vt:lpstr>Opt3EID</vt:lpstr>
      <vt:lpstr>TODRiders</vt:lpstr>
      <vt:lpstr>Opt1subsidies_V2</vt:lpstr>
      <vt:lpstr>Finances_Qtr</vt:lpstr>
      <vt:lpstr>Opt1_Qtr</vt:lpstr>
      <vt:lpstr>Opt1_Qtr_v2</vt:lpstr>
      <vt:lpstr>Opt2_Qtr</vt:lpstr>
      <vt:lpstr>Opt2_5_Qtr</vt:lpstr>
      <vt:lpstr>Opt3_Qtr</vt:lpstr>
      <vt:lpstr>Opt1subsidies IndyVersion</vt:lpstr>
      <vt:lpstr>Opt1_Qtr IndyVersion</vt:lpstr>
      <vt:lpstr>Demonstration</vt:lpstr>
      <vt:lpstr>All_Routes existing</vt:lpstr>
      <vt:lpstr>All_Routes_new</vt:lpstr>
      <vt:lpstr>All_Routes_Saturday</vt:lpstr>
      <vt:lpstr>NorthPlainfield_1</vt:lpstr>
      <vt:lpstr>SouthPlainfield_1</vt:lpstr>
      <vt:lpstr>Riders_Chart2</vt:lpstr>
      <vt:lpstr>Whitestown_1</vt:lpstr>
      <vt:lpstr>AllRoutes_Chart_1</vt:lpstr>
      <vt:lpstr>AllRoutes_Chart_2</vt:lpstr>
      <vt:lpstr>TODRiders_Cht</vt:lpstr>
      <vt:lpstr>'All_Routes existing'!Print_Area</vt:lpstr>
      <vt:lpstr>All_Routes_new!Print_Area</vt:lpstr>
      <vt:lpstr>All_Routes_Saturday!Print_Area</vt:lpstr>
      <vt:lpstr>'Opt1_Qtr IndyVersion'!Print_Area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Castaneda</dc:creator>
  <cp:lastModifiedBy>Cinda Kelley</cp:lastModifiedBy>
  <cp:lastPrinted>2017-09-12T16:29:04Z</cp:lastPrinted>
  <dcterms:created xsi:type="dcterms:W3CDTF">2014-07-28T20:33:27Z</dcterms:created>
  <dcterms:modified xsi:type="dcterms:W3CDTF">2018-03-05T16:49:54Z</dcterms:modified>
</cp:coreProperties>
</file>