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240afeef930499/Documents/John Oliver Jones/Advent Christian/ERA Board/Treasurer/Board Presentation Files/ERA 2026 Convention/"/>
    </mc:Choice>
  </mc:AlternateContent>
  <xr:revisionPtr revIDLastSave="152" documentId="8_{90941237-4CF9-4F23-BBF2-93DDFFEA16AD}" xr6:coauthVersionLast="47" xr6:coauthVersionMax="47" xr10:uidLastSave="{7279F9A0-FE40-4554-9B65-9298F640BCFE}"/>
  <bookViews>
    <workbookView xWindow="-110" yWindow="-110" windowWidth="19420" windowHeight="10300" xr2:uid="{00000000-000D-0000-FFFF-FFFF00000000}"/>
  </bookViews>
  <sheets>
    <sheet name="Profit and Los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1" l="1"/>
  <c r="I57" i="1"/>
  <c r="D58" i="1"/>
  <c r="I58" i="1"/>
  <c r="D61" i="1"/>
  <c r="D63" i="1"/>
  <c r="B48" i="1"/>
  <c r="D47" i="1"/>
  <c r="G48" i="1"/>
  <c r="D36" i="1"/>
  <c r="B34" i="1"/>
  <c r="B28" i="1"/>
  <c r="D26" i="1"/>
  <c r="D23" i="1"/>
  <c r="B21" i="1"/>
  <c r="G85" i="1"/>
  <c r="G86" i="1" s="1"/>
  <c r="H84" i="1"/>
  <c r="I84" i="1" s="1"/>
  <c r="I85" i="1" s="1"/>
  <c r="I86" i="1" s="1"/>
  <c r="G79" i="1"/>
  <c r="I79" i="1" s="1"/>
  <c r="I78" i="1"/>
  <c r="G76" i="1"/>
  <c r="G77" i="1" s="1"/>
  <c r="H75" i="1"/>
  <c r="I74" i="1"/>
  <c r="H73" i="1"/>
  <c r="I73" i="1" s="1"/>
  <c r="I72" i="1"/>
  <c r="H71" i="1"/>
  <c r="I71" i="1" s="1"/>
  <c r="H70" i="1"/>
  <c r="I70" i="1" s="1"/>
  <c r="H69" i="1"/>
  <c r="I69" i="1" s="1"/>
  <c r="H68" i="1"/>
  <c r="I68" i="1" s="1"/>
  <c r="H67" i="1"/>
  <c r="I67" i="1" s="1"/>
  <c r="H66" i="1"/>
  <c r="I66" i="1" s="1"/>
  <c r="G63" i="1"/>
  <c r="I63" i="1" s="1"/>
  <c r="I62" i="1"/>
  <c r="H61" i="1"/>
  <c r="I61" i="1" s="1"/>
  <c r="I26" i="1"/>
  <c r="I60" i="1"/>
  <c r="H59" i="1"/>
  <c r="G59" i="1"/>
  <c r="H56" i="1"/>
  <c r="I56" i="1" s="1"/>
  <c r="G55" i="1"/>
  <c r="I55" i="1" s="1"/>
  <c r="H54" i="1"/>
  <c r="G54" i="1"/>
  <c r="G52" i="1"/>
  <c r="H51" i="1"/>
  <c r="I51" i="1" s="1"/>
  <c r="I50" i="1"/>
  <c r="H46" i="1"/>
  <c r="I46" i="1" s="1"/>
  <c r="I45" i="1"/>
  <c r="H44" i="1"/>
  <c r="I44" i="1" s="1"/>
  <c r="I43" i="1"/>
  <c r="I42" i="1"/>
  <c r="H41" i="1"/>
  <c r="I41" i="1" s="1"/>
  <c r="I40" i="1"/>
  <c r="I39" i="1"/>
  <c r="H38" i="1"/>
  <c r="I38" i="1" s="1"/>
  <c r="H37" i="1"/>
  <c r="G34" i="1"/>
  <c r="H33" i="1"/>
  <c r="I33" i="1" s="1"/>
  <c r="H32" i="1"/>
  <c r="I32" i="1" s="1"/>
  <c r="H31" i="1"/>
  <c r="I31" i="1" s="1"/>
  <c r="H30" i="1"/>
  <c r="I30" i="1" s="1"/>
  <c r="G28" i="1"/>
  <c r="H27" i="1"/>
  <c r="I27" i="1" s="1"/>
  <c r="H25" i="1"/>
  <c r="I25" i="1" s="1"/>
  <c r="H24" i="1"/>
  <c r="I24" i="1" s="1"/>
  <c r="G21" i="1"/>
  <c r="H20" i="1"/>
  <c r="I20" i="1" s="1"/>
  <c r="H19" i="1"/>
  <c r="I19" i="1" s="1"/>
  <c r="H18" i="1"/>
  <c r="I18" i="1" s="1"/>
  <c r="G14" i="1"/>
  <c r="G15" i="1" s="1"/>
  <c r="H13" i="1"/>
  <c r="H14" i="1" s="1"/>
  <c r="H15" i="1" s="1"/>
  <c r="I12" i="1"/>
  <c r="I11" i="1"/>
  <c r="I10" i="1"/>
  <c r="I9" i="1"/>
  <c r="I8" i="1"/>
  <c r="I7" i="1"/>
  <c r="C46" i="1"/>
  <c r="D46" i="1" s="1"/>
  <c r="D55" i="1"/>
  <c r="D78" i="1"/>
  <c r="D74" i="1"/>
  <c r="D72" i="1"/>
  <c r="D62" i="1"/>
  <c r="D60" i="1"/>
  <c r="D50" i="1"/>
  <c r="D45" i="1"/>
  <c r="D43" i="1"/>
  <c r="D42" i="1"/>
  <c r="D40" i="1"/>
  <c r="D39" i="1"/>
  <c r="D12" i="1"/>
  <c r="D11" i="1"/>
  <c r="D10" i="1"/>
  <c r="D9" i="1"/>
  <c r="D7" i="1"/>
  <c r="D8" i="1"/>
  <c r="C84" i="1"/>
  <c r="C85" i="1" s="1"/>
  <c r="C86" i="1" s="1"/>
  <c r="D75" i="1"/>
  <c r="D73" i="1"/>
  <c r="C71" i="1"/>
  <c r="D71" i="1" s="1"/>
  <c r="C70" i="1"/>
  <c r="D70" i="1" s="1"/>
  <c r="D69" i="1"/>
  <c r="C68" i="1"/>
  <c r="D68" i="1" s="1"/>
  <c r="D67" i="1"/>
  <c r="C66" i="1"/>
  <c r="D66" i="1" s="1"/>
  <c r="D56" i="1"/>
  <c r="C54" i="1"/>
  <c r="C52" i="1"/>
  <c r="D44" i="1"/>
  <c r="D41" i="1"/>
  <c r="C38" i="1"/>
  <c r="D38" i="1" s="1"/>
  <c r="D37" i="1"/>
  <c r="D33" i="1"/>
  <c r="D32" i="1"/>
  <c r="C31" i="1"/>
  <c r="D31" i="1" s="1"/>
  <c r="C30" i="1"/>
  <c r="D30" i="1" s="1"/>
  <c r="C27" i="1"/>
  <c r="D27" i="1" s="1"/>
  <c r="C25" i="1"/>
  <c r="D25" i="1" s="1"/>
  <c r="C24" i="1"/>
  <c r="D24" i="1" s="1"/>
  <c r="D20" i="1"/>
  <c r="D18" i="1"/>
  <c r="D19" i="1"/>
  <c r="C14" i="1"/>
  <c r="B85" i="1"/>
  <c r="B86" i="1" s="1"/>
  <c r="B79" i="1"/>
  <c r="D79" i="1" s="1"/>
  <c r="D48" i="1" l="1"/>
  <c r="C48" i="1"/>
  <c r="H48" i="1"/>
  <c r="D34" i="1"/>
  <c r="H52" i="1"/>
  <c r="C34" i="1"/>
  <c r="C28" i="1"/>
  <c r="D28" i="1"/>
  <c r="I59" i="1"/>
  <c r="D59" i="1"/>
  <c r="I21" i="1"/>
  <c r="I52" i="1"/>
  <c r="G64" i="1"/>
  <c r="G80" i="1" s="1"/>
  <c r="G81" i="1" s="1"/>
  <c r="G87" i="1" s="1"/>
  <c r="I54" i="1"/>
  <c r="H64" i="1"/>
  <c r="H76" i="1"/>
  <c r="H77" i="1" s="1"/>
  <c r="I77" i="1" s="1"/>
  <c r="I13" i="1"/>
  <c r="I14" i="1" s="1"/>
  <c r="I15" i="1" s="1"/>
  <c r="I28" i="1"/>
  <c r="I34" i="1"/>
  <c r="H85" i="1"/>
  <c r="H86" i="1" s="1"/>
  <c r="H34" i="1"/>
  <c r="I75" i="1"/>
  <c r="I76" i="1" s="1"/>
  <c r="H21" i="1"/>
  <c r="I37" i="1"/>
  <c r="I48" i="1" s="1"/>
  <c r="H28" i="1"/>
  <c r="D54" i="1"/>
  <c r="D64" i="1" s="1"/>
  <c r="D84" i="1"/>
  <c r="D85" i="1" s="1"/>
  <c r="D86" i="1" s="1"/>
  <c r="D76" i="1"/>
  <c r="D21" i="1"/>
  <c r="D13" i="1"/>
  <c r="D14" i="1" s="1"/>
  <c r="D15" i="1" s="1"/>
  <c r="D51" i="1"/>
  <c r="D52" i="1" s="1"/>
  <c r="C76" i="1"/>
  <c r="C77" i="1" s="1"/>
  <c r="B14" i="1"/>
  <c r="B15" i="1" s="1"/>
  <c r="B76" i="1"/>
  <c r="B77" i="1" s="1"/>
  <c r="C15" i="1"/>
  <c r="C64" i="1"/>
  <c r="B64" i="1"/>
  <c r="C21" i="1"/>
  <c r="B52" i="1"/>
  <c r="I64" i="1" l="1"/>
  <c r="I80" i="1" s="1"/>
  <c r="I81" i="1" s="1"/>
  <c r="I87" i="1" s="1"/>
  <c r="H80" i="1"/>
  <c r="H81" i="1" s="1"/>
  <c r="H87" i="1" s="1"/>
  <c r="D77" i="1"/>
  <c r="C80" i="1"/>
  <c r="C81" i="1" s="1"/>
  <c r="C87" i="1" s="1"/>
  <c r="B80" i="1"/>
  <c r="B81" i="1" s="1"/>
  <c r="B87" i="1" s="1"/>
  <c r="D80" i="1" l="1"/>
  <c r="D81" i="1" s="1"/>
  <c r="D87" i="1" s="1"/>
</calcChain>
</file>

<file path=xl/sharedStrings.xml><?xml version="1.0" encoding="utf-8"?>
<sst xmlns="http://schemas.openxmlformats.org/spreadsheetml/2006/main" count="173" uniqueCount="94">
  <si>
    <t>Total</t>
  </si>
  <si>
    <t>Income</t>
  </si>
  <si>
    <t xml:space="preserve">   4100 United Ministry Receipts</t>
  </si>
  <si>
    <t xml:space="preserve">   4110 United Ministries Rcpts - ACGC</t>
  </si>
  <si>
    <t xml:space="preserve">   4750 Superintendent field receipts</t>
  </si>
  <si>
    <t xml:space="preserve">   4760 Gifts</t>
  </si>
  <si>
    <t xml:space="preserve">   4790 Convention Income</t>
  </si>
  <si>
    <t xml:space="preserve">   4900 Investment Income</t>
  </si>
  <si>
    <t>Total Income</t>
  </si>
  <si>
    <t>Gross Profit</t>
  </si>
  <si>
    <t>Expenses</t>
  </si>
  <si>
    <t xml:space="preserve">   5050 Ministry</t>
  </si>
  <si>
    <t xml:space="preserve">      5053 Leadership Development</t>
  </si>
  <si>
    <t xml:space="preserve">      5055 Pastoral Health - Card Ministry</t>
  </si>
  <si>
    <t xml:space="preserve">   Total 5050 Ministry</t>
  </si>
  <si>
    <t xml:space="preserve">   5100 Professional Enrichment &amp; Care</t>
  </si>
  <si>
    <t xml:space="preserve">      5110 Gifts &amp; Remembrances</t>
  </si>
  <si>
    <t xml:space="preserve">      5120 Book Allowance</t>
  </si>
  <si>
    <t xml:space="preserve">   Total 5100 Professional Enrichment &amp; Care</t>
  </si>
  <si>
    <t xml:space="preserve">   5300 Meetings</t>
  </si>
  <si>
    <t xml:space="preserve">      5330 ERA  Annual Convention</t>
  </si>
  <si>
    <t xml:space="preserve">      5370 Officer Meeting &amp; Travel</t>
  </si>
  <si>
    <t xml:space="preserve">   Total 5300 Meetings</t>
  </si>
  <si>
    <t xml:space="preserve">   5500 Office Expenses</t>
  </si>
  <si>
    <t xml:space="preserve">      5525 Constant Contact</t>
  </si>
  <si>
    <t xml:space="preserve">      5530 Postage &amp; PO Box Rental</t>
  </si>
  <si>
    <t xml:space="preserve">      5540 Supplies</t>
  </si>
  <si>
    <t xml:space="preserve">      5550 Telephone &amp; Internet</t>
  </si>
  <si>
    <t xml:space="preserve">      5555 Cell Phone</t>
  </si>
  <si>
    <t xml:space="preserve">      5560 Web Hosting</t>
  </si>
  <si>
    <t xml:space="preserve">      5570 Other-Online Subscriptions</t>
  </si>
  <si>
    <t xml:space="preserve">   Total 5500 Office Expenses</t>
  </si>
  <si>
    <t xml:space="preserve">   5800 Property Maintenance &amp; Repair</t>
  </si>
  <si>
    <t xml:space="preserve">      5810 Building Maintenance</t>
  </si>
  <si>
    <t xml:space="preserve">      5811 Bluebird Storage-Rochester</t>
  </si>
  <si>
    <t xml:space="preserve">   Total 5800 Property Maintenance &amp; Repair</t>
  </si>
  <si>
    <t xml:space="preserve">   6300 Wages &amp; Honorariums</t>
  </si>
  <si>
    <t xml:space="preserve">      6310 Secretary</t>
  </si>
  <si>
    <t xml:space="preserve">      6324 Interim Superintendent Wages</t>
  </si>
  <si>
    <t xml:space="preserve">      6330 Payroll Taxes</t>
  </si>
  <si>
    <t xml:space="preserve">      6350 Workers Comp Insurance</t>
  </si>
  <si>
    <t xml:space="preserve">      6360 Gifts &amp; Bonuses</t>
  </si>
  <si>
    <t xml:space="preserve">   Total 6300 Wages &amp; Honorariums</t>
  </si>
  <si>
    <t xml:space="preserve">   6500 Superintendent Travel Expenses</t>
  </si>
  <si>
    <t xml:space="preserve">      6510 Auto Loan Interest Expense</t>
  </si>
  <si>
    <t xml:space="preserve">      6520 Vehicle Insurance</t>
  </si>
  <si>
    <t xml:space="preserve">      6530 Registrations &amp; Inspections</t>
  </si>
  <si>
    <t xml:space="preserve">      6540 Vehicle Repairs</t>
  </si>
  <si>
    <t xml:space="preserve">      6550 Fuel</t>
  </si>
  <si>
    <t xml:space="preserve">      6560 Tolls</t>
  </si>
  <si>
    <t xml:space="preserve">      6600 Other Travel Expenses</t>
  </si>
  <si>
    <t xml:space="preserve">         6610 Meals</t>
  </si>
  <si>
    <t xml:space="preserve">         6630 Hotels &amp; Car Rentals</t>
  </si>
  <si>
    <t xml:space="preserve">      Total 6600 Other Travel Expenses</t>
  </si>
  <si>
    <t xml:space="preserve">   Total 6500 Superintendent Travel Expenses</t>
  </si>
  <si>
    <t xml:space="preserve">   Payroll Expenses</t>
  </si>
  <si>
    <t xml:space="preserve">   Reimbursements</t>
  </si>
  <si>
    <t>Total Expenses</t>
  </si>
  <si>
    <t>Net Operating Income</t>
  </si>
  <si>
    <t>Other Expenses</t>
  </si>
  <si>
    <t xml:space="preserve">   7700 Depreciation</t>
  </si>
  <si>
    <t>Total Other Expenses</t>
  </si>
  <si>
    <t>Net Other Income</t>
  </si>
  <si>
    <t>Net Income</t>
  </si>
  <si>
    <t>Eastern Regional Association</t>
  </si>
  <si>
    <t>Profit and Loss</t>
  </si>
  <si>
    <t>Budget 2024</t>
  </si>
  <si>
    <t xml:space="preserve">      5051 Summer Ministry Expense</t>
  </si>
  <si>
    <t xml:space="preserve">      5130 Training Seminars</t>
  </si>
  <si>
    <t xml:space="preserve">      5310 Board meetings</t>
  </si>
  <si>
    <t xml:space="preserve">      5320 Zoom</t>
  </si>
  <si>
    <t xml:space="preserve">      5538 Bank and PayPal Fees</t>
  </si>
  <si>
    <t xml:space="preserve">      6320 Superintendent</t>
  </si>
  <si>
    <t xml:space="preserve">      XXXX Housing Allowance</t>
  </si>
  <si>
    <t xml:space="preserve">      XXXX Health Insurance</t>
  </si>
  <si>
    <t xml:space="preserve">      6326 Professional Enrichment</t>
  </si>
  <si>
    <t xml:space="preserve">      6325  Superintendent's Pension</t>
  </si>
  <si>
    <t xml:space="preserve">         6620 Airfare &amp; Parking</t>
  </si>
  <si>
    <t>Other Income</t>
  </si>
  <si>
    <t>$ Over Budget</t>
  </si>
  <si>
    <t>January 1 - December 31, 2024</t>
  </si>
  <si>
    <t xml:space="preserve">      5575 Deed Searches</t>
  </si>
  <si>
    <t xml:space="preserve">      5590 Audit/Review</t>
  </si>
  <si>
    <t xml:space="preserve">      6315 Bookkeeper</t>
  </si>
  <si>
    <t xml:space="preserve">   4795 Leadership Conference Income</t>
  </si>
  <si>
    <t>January 1 - December 31, 2025</t>
  </si>
  <si>
    <t>Budget 2025</t>
  </si>
  <si>
    <t xml:space="preserve">      5040 ERA Leadership Conference</t>
  </si>
  <si>
    <t xml:space="preserve">      5054 ACGC Leadership Discount</t>
  </si>
  <si>
    <t xml:space="preserve">      5126 Professional Enrichment</t>
  </si>
  <si>
    <t xml:space="preserve">      5500 Office Expenses</t>
  </si>
  <si>
    <t xml:space="preserve">      5590 Admin Sec'y Mileage</t>
  </si>
  <si>
    <t xml:space="preserve">      6354 Housing Allowance</t>
  </si>
  <si>
    <t xml:space="preserve">      6355 Health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</si>
</sst>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\ _€"/>
    <numFmt numFmtId="165" formatCode="&quot;$&quot;* #,##0.00\ _€"/>
  </numFmts>
  <fonts count="11" x14ac:knownFonts="1">
    <font>
      <sz val="11"/>
      <color indexed="8"/>
      <name val="Calibri"/>
      <family val="2"/>
      <scheme val="minor"/>
    </font>
    <font>
      <b/>
      <sz val="9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4"/>
      <color indexed="8"/>
      <name val="Arial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6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2" fontId="8" fillId="0" borderId="0" xfId="0" applyNumberFormat="1" applyFont="1"/>
    <xf numFmtId="43" fontId="8" fillId="0" borderId="0" xfId="1" applyFont="1"/>
    <xf numFmtId="0" fontId="9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/>
    </xf>
    <xf numFmtId="165" fontId="2" fillId="0" borderId="4" xfId="0" applyNumberFormat="1" applyFont="1" applyBorder="1" applyAlignment="1">
      <alignment horizontal="right" wrapText="1"/>
    </xf>
    <xf numFmtId="43" fontId="6" fillId="0" borderId="0" xfId="1" applyFont="1"/>
    <xf numFmtId="165" fontId="2" fillId="0" borderId="0" xfId="0" applyNumberFormat="1" applyFont="1" applyAlignment="1">
      <alignment horizontal="right" wrapText="1"/>
    </xf>
    <xf numFmtId="0" fontId="6" fillId="0" borderId="0" xfId="0" applyFont="1"/>
    <xf numFmtId="4" fontId="8" fillId="0" borderId="0" xfId="1" applyNumberFormat="1" applyFont="1"/>
    <xf numFmtId="43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/>
    <xf numFmtId="0" fontId="10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tabSelected="1" topLeftCell="A77" workbookViewId="0">
      <selection activeCell="C89" sqref="C89"/>
    </sheetView>
  </sheetViews>
  <sheetFormatPr defaultRowHeight="14.5" x14ac:dyDescent="0.35"/>
  <cols>
    <col min="1" max="1" width="38.7265625" customWidth="1"/>
    <col min="2" max="2" width="24.81640625" customWidth="1"/>
    <col min="3" max="4" width="12.54296875" customWidth="1"/>
    <col min="5" max="5" width="2.453125" customWidth="1"/>
    <col min="6" max="6" width="36.26953125" customWidth="1"/>
    <col min="7" max="7" width="29.81640625" customWidth="1"/>
    <col min="8" max="8" width="11.1796875" bestFit="1" customWidth="1"/>
    <col min="9" max="9" width="12.453125" bestFit="1" customWidth="1"/>
  </cols>
  <sheetData>
    <row r="1" spans="1:9" ht="18" x14ac:dyDescent="0.4">
      <c r="A1" s="18" t="s">
        <v>64</v>
      </c>
      <c r="B1" s="19"/>
      <c r="F1" s="18" t="s">
        <v>64</v>
      </c>
      <c r="G1" s="19"/>
    </row>
    <row r="2" spans="1:9" ht="18" x14ac:dyDescent="0.4">
      <c r="A2" s="18" t="s">
        <v>65</v>
      </c>
      <c r="B2" s="19"/>
      <c r="F2" s="18" t="s">
        <v>65</v>
      </c>
      <c r="G2" s="19"/>
    </row>
    <row r="3" spans="1:9" x14ac:dyDescent="0.35">
      <c r="A3" s="20" t="s">
        <v>85</v>
      </c>
      <c r="B3" s="19"/>
      <c r="F3" s="20" t="s">
        <v>80</v>
      </c>
      <c r="G3" s="19"/>
    </row>
    <row r="4" spans="1:9" x14ac:dyDescent="0.35">
      <c r="B4" s="15"/>
      <c r="G4" s="15"/>
    </row>
    <row r="5" spans="1:9" x14ac:dyDescent="0.35">
      <c r="A5" s="1"/>
      <c r="B5" s="2" t="s">
        <v>0</v>
      </c>
      <c r="C5" s="11" t="s">
        <v>86</v>
      </c>
      <c r="D5" s="11" t="s">
        <v>79</v>
      </c>
      <c r="F5" s="1"/>
      <c r="G5" s="2" t="s">
        <v>0</v>
      </c>
      <c r="H5" s="11" t="s">
        <v>66</v>
      </c>
      <c r="I5" s="11" t="s">
        <v>79</v>
      </c>
    </row>
    <row r="6" spans="1:9" x14ac:dyDescent="0.35">
      <c r="A6" s="3" t="s">
        <v>1</v>
      </c>
      <c r="B6" s="4"/>
      <c r="F6" s="3" t="s">
        <v>1</v>
      </c>
      <c r="G6" s="4"/>
    </row>
    <row r="7" spans="1:9" x14ac:dyDescent="0.35">
      <c r="A7" s="3" t="s">
        <v>2</v>
      </c>
      <c r="B7" s="5">
        <v>49159.65</v>
      </c>
      <c r="C7" s="9">
        <v>55000</v>
      </c>
      <c r="D7" s="16">
        <f>B7-C7</f>
        <v>-5840.3499999999985</v>
      </c>
      <c r="F7" s="3" t="s">
        <v>2</v>
      </c>
      <c r="G7" s="5">
        <v>57128.66</v>
      </c>
      <c r="H7" s="9">
        <v>55000</v>
      </c>
      <c r="I7" s="16">
        <f>G7-H7</f>
        <v>2128.6600000000035</v>
      </c>
    </row>
    <row r="8" spans="1:9" x14ac:dyDescent="0.35">
      <c r="A8" s="3" t="s">
        <v>3</v>
      </c>
      <c r="B8" s="5">
        <v>34144.35</v>
      </c>
      <c r="C8" s="9">
        <v>35000</v>
      </c>
      <c r="D8" s="16">
        <f>B8-C8</f>
        <v>-855.65000000000146</v>
      </c>
      <c r="F8" s="3" t="s">
        <v>3</v>
      </c>
      <c r="G8" s="5">
        <v>22823.040000000001</v>
      </c>
      <c r="H8" s="9">
        <v>35000</v>
      </c>
      <c r="I8" s="16">
        <f>G8-H8</f>
        <v>-12176.96</v>
      </c>
    </row>
    <row r="9" spans="1:9" x14ac:dyDescent="0.35">
      <c r="A9" s="3" t="s">
        <v>4</v>
      </c>
      <c r="B9" s="5">
        <v>600</v>
      </c>
      <c r="C9" s="8">
        <v>250</v>
      </c>
      <c r="D9" s="16">
        <f t="shared" ref="D9:D13" si="0">B9-C9</f>
        <v>350</v>
      </c>
      <c r="F9" s="3" t="s">
        <v>4</v>
      </c>
      <c r="G9" s="5">
        <v>100</v>
      </c>
      <c r="H9" s="8">
        <v>250</v>
      </c>
      <c r="I9" s="16">
        <f t="shared" ref="I9:I13" si="1">G9-H9</f>
        <v>-150</v>
      </c>
    </row>
    <row r="10" spans="1:9" x14ac:dyDescent="0.35">
      <c r="A10" s="3" t="s">
        <v>5</v>
      </c>
      <c r="B10" s="5">
        <v>1225</v>
      </c>
      <c r="C10" s="9">
        <v>3000</v>
      </c>
      <c r="D10" s="16">
        <f t="shared" si="0"/>
        <v>-1775</v>
      </c>
      <c r="F10" s="3" t="s">
        <v>5</v>
      </c>
      <c r="G10" s="5">
        <v>1200</v>
      </c>
      <c r="H10" s="9">
        <v>3000</v>
      </c>
      <c r="I10" s="16">
        <f t="shared" si="1"/>
        <v>-1800</v>
      </c>
    </row>
    <row r="11" spans="1:9" x14ac:dyDescent="0.35">
      <c r="A11" s="3" t="s">
        <v>6</v>
      </c>
      <c r="B11" s="5">
        <v>7800</v>
      </c>
      <c r="C11" s="9">
        <v>5000</v>
      </c>
      <c r="D11" s="16">
        <f t="shared" si="0"/>
        <v>2800</v>
      </c>
      <c r="F11" s="3" t="s">
        <v>6</v>
      </c>
      <c r="G11" s="5">
        <v>5301.39</v>
      </c>
      <c r="H11" s="9">
        <v>7000</v>
      </c>
      <c r="I11" s="16">
        <f t="shared" si="1"/>
        <v>-1698.6099999999997</v>
      </c>
    </row>
    <row r="12" spans="1:9" x14ac:dyDescent="0.35">
      <c r="A12" s="3" t="s">
        <v>84</v>
      </c>
      <c r="B12" s="5">
        <v>3718.36</v>
      </c>
      <c r="C12" s="9">
        <v>0</v>
      </c>
      <c r="D12" s="16">
        <f t="shared" si="0"/>
        <v>3718.36</v>
      </c>
      <c r="F12" s="3" t="s">
        <v>84</v>
      </c>
      <c r="G12" s="5">
        <v>1000</v>
      </c>
      <c r="H12" s="9">
        <v>0</v>
      </c>
      <c r="I12" s="16">
        <f t="shared" si="1"/>
        <v>1000</v>
      </c>
    </row>
    <row r="13" spans="1:9" x14ac:dyDescent="0.35">
      <c r="A13" s="3" t="s">
        <v>7</v>
      </c>
      <c r="B13" s="5">
        <v>31257.45</v>
      </c>
      <c r="C13" s="9">
        <v>24000</v>
      </c>
      <c r="D13" s="16">
        <f t="shared" si="0"/>
        <v>7257.4500000000007</v>
      </c>
      <c r="F13" s="3" t="s">
        <v>7</v>
      </c>
      <c r="G13" s="5">
        <v>4103.51</v>
      </c>
      <c r="H13" s="9">
        <f>7750</f>
        <v>7750</v>
      </c>
      <c r="I13" s="16">
        <f t="shared" si="1"/>
        <v>-3646.49</v>
      </c>
    </row>
    <row r="14" spans="1:9" x14ac:dyDescent="0.35">
      <c r="A14" s="3" t="s">
        <v>8</v>
      </c>
      <c r="B14" s="6">
        <f>SUM(B7:B13)</f>
        <v>127904.81</v>
      </c>
      <c r="C14" s="6">
        <f>SUM(C7:C13)</f>
        <v>122250</v>
      </c>
      <c r="D14" s="6">
        <f>SUM(D7:D13)</f>
        <v>5654.8100000000013</v>
      </c>
      <c r="F14" s="3" t="s">
        <v>8</v>
      </c>
      <c r="G14" s="6">
        <f>SUM(G7:G13)</f>
        <v>91656.6</v>
      </c>
      <c r="H14" s="6">
        <f>SUM(H7:H13)</f>
        <v>108000</v>
      </c>
      <c r="I14" s="6">
        <f>SUM(I7:I13)</f>
        <v>-16343.399999999996</v>
      </c>
    </row>
    <row r="15" spans="1:9" x14ac:dyDescent="0.35">
      <c r="A15" s="3" t="s">
        <v>9</v>
      </c>
      <c r="B15" s="6">
        <f>(B14)-(0)</f>
        <v>127904.81</v>
      </c>
      <c r="C15" s="6">
        <f>(C14)-(0)</f>
        <v>122250</v>
      </c>
      <c r="D15" s="6">
        <f>(D14)-(0)</f>
        <v>5654.8100000000013</v>
      </c>
      <c r="F15" s="3" t="s">
        <v>9</v>
      </c>
      <c r="G15" s="6">
        <f>(G14)-(0)</f>
        <v>91656.6</v>
      </c>
      <c r="H15" s="6">
        <f>(H14)-(0)</f>
        <v>108000</v>
      </c>
      <c r="I15" s="6">
        <f>(I14)-(0)</f>
        <v>-16343.399999999996</v>
      </c>
    </row>
    <row r="16" spans="1:9" x14ac:dyDescent="0.35">
      <c r="A16" s="3" t="s">
        <v>10</v>
      </c>
      <c r="B16" s="4"/>
      <c r="F16" s="3" t="s">
        <v>10</v>
      </c>
      <c r="G16" s="4"/>
    </row>
    <row r="17" spans="1:9" x14ac:dyDescent="0.35">
      <c r="A17" s="3" t="s">
        <v>11</v>
      </c>
      <c r="B17" s="4"/>
      <c r="F17" s="3" t="s">
        <v>11</v>
      </c>
      <c r="G17" s="4"/>
    </row>
    <row r="18" spans="1:9" x14ac:dyDescent="0.35">
      <c r="A18" s="10" t="s">
        <v>87</v>
      </c>
      <c r="B18" s="4">
        <v>3677.19</v>
      </c>
      <c r="C18" s="5">
        <v>2000</v>
      </c>
      <c r="D18" s="16">
        <f t="shared" ref="D18:D20" si="2">B18-C18</f>
        <v>1677.19</v>
      </c>
      <c r="F18" s="10" t="s">
        <v>67</v>
      </c>
      <c r="G18" s="4">
        <v>0</v>
      </c>
      <c r="H18" s="5">
        <f>1200</f>
        <v>1200</v>
      </c>
      <c r="I18" s="16">
        <f t="shared" ref="I18:I20" si="3">G18-H18</f>
        <v>-1200</v>
      </c>
    </row>
    <row r="19" spans="1:9" x14ac:dyDescent="0.35">
      <c r="A19" s="3" t="s">
        <v>12</v>
      </c>
      <c r="B19" s="5">
        <v>0</v>
      </c>
      <c r="C19" s="5">
        <v>500</v>
      </c>
      <c r="D19" s="16">
        <f t="shared" si="2"/>
        <v>-500</v>
      </c>
      <c r="F19" s="3" t="s">
        <v>12</v>
      </c>
      <c r="G19" s="5">
        <v>2000</v>
      </c>
      <c r="H19" s="5">
        <f>2000</f>
        <v>2000</v>
      </c>
      <c r="I19" s="16">
        <f t="shared" si="3"/>
        <v>0</v>
      </c>
    </row>
    <row r="20" spans="1:9" x14ac:dyDescent="0.35">
      <c r="A20" s="3" t="s">
        <v>13</v>
      </c>
      <c r="B20" s="5">
        <v>256.66000000000003</v>
      </c>
      <c r="C20" s="5">
        <v>750</v>
      </c>
      <c r="D20" s="16">
        <f t="shared" si="2"/>
        <v>-493.34</v>
      </c>
      <c r="F20" s="3" t="s">
        <v>13</v>
      </c>
      <c r="G20" s="5">
        <v>27.93</v>
      </c>
      <c r="H20" s="5">
        <f>1000</f>
        <v>1000</v>
      </c>
      <c r="I20" s="16">
        <f t="shared" si="3"/>
        <v>-972.07</v>
      </c>
    </row>
    <row r="21" spans="1:9" x14ac:dyDescent="0.35">
      <c r="A21" s="3" t="s">
        <v>14</v>
      </c>
      <c r="B21" s="6">
        <f>((B17)+(B19))+(B20)+B18</f>
        <v>3933.85</v>
      </c>
      <c r="C21" s="6">
        <f>SUM(C18:C20)</f>
        <v>3250</v>
      </c>
      <c r="D21" s="6">
        <f>SUM(D18:D20)</f>
        <v>683.85000000000014</v>
      </c>
      <c r="F21" s="3" t="s">
        <v>14</v>
      </c>
      <c r="G21" s="6">
        <f>((G17)+(G19))+(G20)</f>
        <v>2027.93</v>
      </c>
      <c r="H21" s="6">
        <f>SUM(H18:H20)</f>
        <v>4200</v>
      </c>
      <c r="I21" s="6">
        <f>SUM(I18:I20)</f>
        <v>-2172.0700000000002</v>
      </c>
    </row>
    <row r="22" spans="1:9" x14ac:dyDescent="0.35">
      <c r="A22" s="3" t="s">
        <v>15</v>
      </c>
      <c r="B22" s="4"/>
      <c r="F22" s="3" t="s">
        <v>15</v>
      </c>
      <c r="G22" s="4"/>
    </row>
    <row r="23" spans="1:9" x14ac:dyDescent="0.35">
      <c r="A23" s="3" t="s">
        <v>88</v>
      </c>
      <c r="B23" s="4">
        <v>440</v>
      </c>
      <c r="C23" s="5">
        <v>1500</v>
      </c>
      <c r="D23" s="16">
        <f t="shared" ref="D23:D27" si="4">B23-C23</f>
        <v>-1060</v>
      </c>
      <c r="F23" s="3"/>
      <c r="G23" s="4"/>
    </row>
    <row r="24" spans="1:9" x14ac:dyDescent="0.35">
      <c r="A24" s="3" t="s">
        <v>16</v>
      </c>
      <c r="B24" s="5">
        <v>130.63</v>
      </c>
      <c r="C24" s="5">
        <f>500</f>
        <v>500</v>
      </c>
      <c r="D24" s="16">
        <f t="shared" si="4"/>
        <v>-369.37</v>
      </c>
      <c r="F24" s="3" t="s">
        <v>16</v>
      </c>
      <c r="G24" s="5">
        <v>297.02999999999997</v>
      </c>
      <c r="H24" s="5">
        <f>500</f>
        <v>500</v>
      </c>
      <c r="I24" s="16">
        <f t="shared" ref="I24:I27" si="5">G24-H24</f>
        <v>-202.97000000000003</v>
      </c>
    </row>
    <row r="25" spans="1:9" x14ac:dyDescent="0.35">
      <c r="A25" s="3" t="s">
        <v>17</v>
      </c>
      <c r="B25" s="5">
        <v>9.56</v>
      </c>
      <c r="C25" s="5">
        <f>400</f>
        <v>400</v>
      </c>
      <c r="D25" s="16">
        <f t="shared" si="4"/>
        <v>-390.44</v>
      </c>
      <c r="F25" s="3" t="s">
        <v>17</v>
      </c>
      <c r="G25" s="5">
        <v>209.02</v>
      </c>
      <c r="H25" s="5">
        <f>400</f>
        <v>400</v>
      </c>
      <c r="I25" s="16">
        <f t="shared" si="5"/>
        <v>-190.98</v>
      </c>
    </row>
    <row r="26" spans="1:9" x14ac:dyDescent="0.35">
      <c r="A26" s="3" t="s">
        <v>89</v>
      </c>
      <c r="B26" s="5">
        <v>0</v>
      </c>
      <c r="C26" s="5">
        <v>400</v>
      </c>
      <c r="D26" s="16">
        <f t="shared" si="4"/>
        <v>-400</v>
      </c>
      <c r="F26" s="10" t="s">
        <v>75</v>
      </c>
      <c r="G26" s="4">
        <v>0</v>
      </c>
      <c r="H26" s="4">
        <v>400</v>
      </c>
      <c r="I26" s="16">
        <f>G26-H26</f>
        <v>-400</v>
      </c>
    </row>
    <row r="27" spans="1:9" x14ac:dyDescent="0.35">
      <c r="A27" s="10" t="s">
        <v>68</v>
      </c>
      <c r="B27" s="4">
        <v>0</v>
      </c>
      <c r="C27" s="5">
        <f>250</f>
        <v>250</v>
      </c>
      <c r="D27" s="16">
        <f t="shared" si="4"/>
        <v>-250</v>
      </c>
      <c r="F27" s="10" t="s">
        <v>68</v>
      </c>
      <c r="G27" s="4">
        <v>0</v>
      </c>
      <c r="H27" s="5">
        <f>250</f>
        <v>250</v>
      </c>
      <c r="I27" s="16">
        <f t="shared" si="5"/>
        <v>-250</v>
      </c>
    </row>
    <row r="28" spans="1:9" x14ac:dyDescent="0.35">
      <c r="A28" s="3" t="s">
        <v>18</v>
      </c>
      <c r="B28" s="6">
        <f>SUM(B23:B27)</f>
        <v>580.18999999999994</v>
      </c>
      <c r="C28" s="6">
        <f>SUM(C23:C27)</f>
        <v>3050</v>
      </c>
      <c r="D28" s="6">
        <f>SUM(D23:D27)</f>
        <v>-2469.81</v>
      </c>
      <c r="F28" s="3" t="s">
        <v>18</v>
      </c>
      <c r="G28" s="6">
        <f>SUM(G24:G27)</f>
        <v>506.04999999999995</v>
      </c>
      <c r="H28" s="6">
        <f>SUM(H24:H27)</f>
        <v>1550</v>
      </c>
      <c r="I28" s="6">
        <f>SUM(I24:I27)</f>
        <v>-1043.95</v>
      </c>
    </row>
    <row r="29" spans="1:9" x14ac:dyDescent="0.35">
      <c r="A29" s="3" t="s">
        <v>19</v>
      </c>
      <c r="B29" s="4"/>
      <c r="F29" s="3" t="s">
        <v>19</v>
      </c>
      <c r="G29" s="4"/>
    </row>
    <row r="30" spans="1:9" x14ac:dyDescent="0.35">
      <c r="A30" s="10" t="s">
        <v>69</v>
      </c>
      <c r="B30" s="4">
        <v>0</v>
      </c>
      <c r="C30" s="5">
        <f>600</f>
        <v>600</v>
      </c>
      <c r="D30" s="16">
        <f t="shared" ref="D30:D33" si="6">B30-C30</f>
        <v>-600</v>
      </c>
      <c r="F30" s="10" t="s">
        <v>69</v>
      </c>
      <c r="G30" s="4">
        <v>129</v>
      </c>
      <c r="H30" s="5">
        <f>600</f>
        <v>600</v>
      </c>
      <c r="I30" s="16">
        <f t="shared" ref="I30:I33" si="7">G30-H30</f>
        <v>-471</v>
      </c>
    </row>
    <row r="31" spans="1:9" x14ac:dyDescent="0.35">
      <c r="A31" s="10" t="s">
        <v>70</v>
      </c>
      <c r="B31" s="4">
        <v>0</v>
      </c>
      <c r="C31" s="5">
        <f>300</f>
        <v>300</v>
      </c>
      <c r="D31" s="16">
        <f t="shared" si="6"/>
        <v>-300</v>
      </c>
      <c r="F31" s="10" t="s">
        <v>70</v>
      </c>
      <c r="G31" s="4">
        <v>0</v>
      </c>
      <c r="H31" s="5">
        <f>300</f>
        <v>300</v>
      </c>
      <c r="I31" s="16">
        <f t="shared" si="7"/>
        <v>-300</v>
      </c>
    </row>
    <row r="32" spans="1:9" x14ac:dyDescent="0.35">
      <c r="A32" s="3" t="s">
        <v>20</v>
      </c>
      <c r="B32" s="5">
        <v>11322.53</v>
      </c>
      <c r="C32" s="5">
        <v>8000</v>
      </c>
      <c r="D32" s="16">
        <f t="shared" si="6"/>
        <v>3322.5300000000007</v>
      </c>
      <c r="F32" s="3" t="s">
        <v>20</v>
      </c>
      <c r="G32" s="5">
        <v>9115.83</v>
      </c>
      <c r="H32" s="5">
        <f>11000</f>
        <v>11000</v>
      </c>
      <c r="I32" s="16">
        <f t="shared" si="7"/>
        <v>-1884.17</v>
      </c>
    </row>
    <row r="33" spans="1:9" x14ac:dyDescent="0.35">
      <c r="A33" s="3" t="s">
        <v>21</v>
      </c>
      <c r="B33" s="5">
        <v>1883.39</v>
      </c>
      <c r="C33" s="5">
        <v>750</v>
      </c>
      <c r="D33" s="16">
        <f t="shared" si="6"/>
        <v>1133.3900000000001</v>
      </c>
      <c r="F33" s="3" t="s">
        <v>21</v>
      </c>
      <c r="G33" s="5">
        <v>1211.1500000000001</v>
      </c>
      <c r="H33" s="5">
        <f>1000</f>
        <v>1000</v>
      </c>
      <c r="I33" s="16">
        <f t="shared" si="7"/>
        <v>211.15000000000009</v>
      </c>
    </row>
    <row r="34" spans="1:9" x14ac:dyDescent="0.35">
      <c r="A34" s="3" t="s">
        <v>22</v>
      </c>
      <c r="B34" s="6">
        <f>SUM(B30:B33)</f>
        <v>13205.92</v>
      </c>
      <c r="C34" s="6">
        <f>SUM(C30:C33)</f>
        <v>9650</v>
      </c>
      <c r="D34" s="6">
        <f>SUM(D30:D33)</f>
        <v>3555.920000000001</v>
      </c>
      <c r="F34" s="3" t="s">
        <v>22</v>
      </c>
      <c r="G34" s="6">
        <f>SUM(G30:G33)</f>
        <v>10455.98</v>
      </c>
      <c r="H34" s="6">
        <f>SUM(H30:H33)</f>
        <v>12900</v>
      </c>
      <c r="I34" s="6">
        <f>SUM(I30:I33)</f>
        <v>-2444.02</v>
      </c>
    </row>
    <row r="35" spans="1:9" x14ac:dyDescent="0.35">
      <c r="A35" s="3" t="s">
        <v>23</v>
      </c>
      <c r="B35" s="4"/>
      <c r="F35" s="3" t="s">
        <v>23</v>
      </c>
      <c r="G35" s="4"/>
    </row>
    <row r="36" spans="1:9" x14ac:dyDescent="0.35">
      <c r="A36" s="3" t="s">
        <v>90</v>
      </c>
      <c r="B36" s="4">
        <v>76.73</v>
      </c>
      <c r="C36">
        <v>0</v>
      </c>
      <c r="D36" s="16">
        <f t="shared" ref="D36:D47" si="8">B36-C36</f>
        <v>76.73</v>
      </c>
      <c r="F36" s="3"/>
      <c r="G36" s="4"/>
    </row>
    <row r="37" spans="1:9" x14ac:dyDescent="0.35">
      <c r="A37" s="3" t="s">
        <v>24</v>
      </c>
      <c r="B37" s="5">
        <v>725.2</v>
      </c>
      <c r="C37" s="5">
        <v>1200</v>
      </c>
      <c r="D37" s="16">
        <f t="shared" si="8"/>
        <v>-474.79999999999995</v>
      </c>
      <c r="F37" s="3" t="s">
        <v>24</v>
      </c>
      <c r="G37" s="5">
        <v>402.5</v>
      </c>
      <c r="H37" s="5">
        <f>1600</f>
        <v>1600</v>
      </c>
      <c r="I37" s="16">
        <f t="shared" ref="I37:I46" si="9">G37-H37</f>
        <v>-1197.5</v>
      </c>
    </row>
    <row r="38" spans="1:9" x14ac:dyDescent="0.35">
      <c r="A38" s="3" t="s">
        <v>25</v>
      </c>
      <c r="B38" s="5">
        <v>160.47999999999999</v>
      </c>
      <c r="C38" s="5">
        <f>250</f>
        <v>250</v>
      </c>
      <c r="D38" s="16">
        <f t="shared" si="8"/>
        <v>-89.52000000000001</v>
      </c>
      <c r="F38" s="3" t="s">
        <v>25</v>
      </c>
      <c r="G38" s="5">
        <v>310.64999999999998</v>
      </c>
      <c r="H38" s="5">
        <f>250</f>
        <v>250</v>
      </c>
      <c r="I38" s="16">
        <f t="shared" si="9"/>
        <v>60.649999999999977</v>
      </c>
    </row>
    <row r="39" spans="1:9" x14ac:dyDescent="0.35">
      <c r="A39" s="10" t="s">
        <v>71</v>
      </c>
      <c r="B39" s="4">
        <v>446.73</v>
      </c>
      <c r="C39" s="4">
        <v>50</v>
      </c>
      <c r="D39" s="16">
        <f t="shared" si="8"/>
        <v>396.73</v>
      </c>
      <c r="F39" s="10" t="s">
        <v>71</v>
      </c>
      <c r="G39" s="4">
        <v>48.24</v>
      </c>
      <c r="H39" s="4">
        <v>50</v>
      </c>
      <c r="I39" s="16">
        <f t="shared" si="9"/>
        <v>-1.759999999999998</v>
      </c>
    </row>
    <row r="40" spans="1:9" x14ac:dyDescent="0.35">
      <c r="A40" s="3" t="s">
        <v>26</v>
      </c>
      <c r="B40" s="5">
        <v>1682.49</v>
      </c>
      <c r="C40" s="4">
        <v>800</v>
      </c>
      <c r="D40" s="16">
        <f t="shared" si="8"/>
        <v>882.49</v>
      </c>
      <c r="F40" s="3" t="s">
        <v>26</v>
      </c>
      <c r="G40" s="5">
        <v>675.99</v>
      </c>
      <c r="H40" s="4">
        <v>500</v>
      </c>
      <c r="I40" s="16">
        <f t="shared" si="9"/>
        <v>175.99</v>
      </c>
    </row>
    <row r="41" spans="1:9" x14ac:dyDescent="0.35">
      <c r="A41" s="3" t="s">
        <v>27</v>
      </c>
      <c r="B41" s="5">
        <v>-22.93</v>
      </c>
      <c r="C41" s="5">
        <v>1000</v>
      </c>
      <c r="D41" s="16">
        <f t="shared" si="8"/>
        <v>-1022.93</v>
      </c>
      <c r="F41" s="3" t="s">
        <v>27</v>
      </c>
      <c r="G41" s="5">
        <v>142.86000000000001</v>
      </c>
      <c r="H41" s="5">
        <f>2150</f>
        <v>2150</v>
      </c>
      <c r="I41" s="16">
        <f t="shared" si="9"/>
        <v>-2007.1399999999999</v>
      </c>
    </row>
    <row r="42" spans="1:9" x14ac:dyDescent="0.35">
      <c r="A42" s="3" t="s">
        <v>28</v>
      </c>
      <c r="B42" s="5">
        <v>243.45</v>
      </c>
      <c r="C42" s="4">
        <v>1200</v>
      </c>
      <c r="D42" s="16">
        <f t="shared" si="8"/>
        <v>-956.55</v>
      </c>
      <c r="F42" s="3" t="s">
        <v>28</v>
      </c>
      <c r="G42" s="5">
        <v>982.24</v>
      </c>
      <c r="H42" s="4">
        <v>500</v>
      </c>
      <c r="I42" s="16">
        <f t="shared" si="9"/>
        <v>482.24</v>
      </c>
    </row>
    <row r="43" spans="1:9" x14ac:dyDescent="0.35">
      <c r="A43" s="3" t="s">
        <v>29</v>
      </c>
      <c r="B43" s="5">
        <v>377.63</v>
      </c>
      <c r="C43" s="4">
        <v>425</v>
      </c>
      <c r="D43" s="16">
        <f t="shared" si="8"/>
        <v>-47.370000000000005</v>
      </c>
      <c r="F43" s="3" t="s">
        <v>29</v>
      </c>
      <c r="G43" s="5">
        <v>15.99</v>
      </c>
      <c r="H43" s="4">
        <v>425</v>
      </c>
      <c r="I43" s="16">
        <f t="shared" si="9"/>
        <v>-409.01</v>
      </c>
    </row>
    <row r="44" spans="1:9" x14ac:dyDescent="0.35">
      <c r="A44" s="3" t="s">
        <v>30</v>
      </c>
      <c r="B44" s="5">
        <v>1397.27</v>
      </c>
      <c r="C44" s="5">
        <v>3000</v>
      </c>
      <c r="D44" s="16">
        <f t="shared" si="8"/>
        <v>-1602.73</v>
      </c>
      <c r="F44" s="3" t="s">
        <v>30</v>
      </c>
      <c r="G44" s="5">
        <v>1310.79</v>
      </c>
      <c r="H44" s="5">
        <f>3500</f>
        <v>3500</v>
      </c>
      <c r="I44" s="16">
        <f t="shared" si="9"/>
        <v>-2189.21</v>
      </c>
    </row>
    <row r="45" spans="1:9" x14ac:dyDescent="0.35">
      <c r="A45" s="10" t="s">
        <v>81</v>
      </c>
      <c r="B45" s="4">
        <v>0</v>
      </c>
      <c r="C45" s="4">
        <v>250</v>
      </c>
      <c r="D45" s="16">
        <f t="shared" si="8"/>
        <v>-250</v>
      </c>
      <c r="F45" s="10" t="s">
        <v>81</v>
      </c>
      <c r="G45" s="4">
        <v>0</v>
      </c>
      <c r="H45" s="4">
        <v>250</v>
      </c>
      <c r="I45" s="16">
        <f t="shared" si="9"/>
        <v>-250</v>
      </c>
    </row>
    <row r="46" spans="1:9" x14ac:dyDescent="0.35">
      <c r="A46" s="3" t="s">
        <v>82</v>
      </c>
      <c r="B46" s="5">
        <v>600</v>
      </c>
      <c r="C46" s="5">
        <f>700</f>
        <v>700</v>
      </c>
      <c r="D46" s="16">
        <f t="shared" si="8"/>
        <v>-100</v>
      </c>
      <c r="F46" s="3" t="s">
        <v>82</v>
      </c>
      <c r="G46" s="5">
        <v>600</v>
      </c>
      <c r="H46" s="5">
        <f>700</f>
        <v>700</v>
      </c>
      <c r="I46" s="16">
        <f t="shared" si="9"/>
        <v>-100</v>
      </c>
    </row>
    <row r="47" spans="1:9" x14ac:dyDescent="0.35">
      <c r="A47" s="3" t="s">
        <v>91</v>
      </c>
      <c r="B47" s="5">
        <v>80.22</v>
      </c>
      <c r="C47" s="5">
        <v>0</v>
      </c>
      <c r="D47" s="16">
        <f t="shared" si="8"/>
        <v>80.22</v>
      </c>
      <c r="F47" s="3"/>
      <c r="G47" s="5"/>
      <c r="H47" s="5"/>
      <c r="I47" s="16"/>
    </row>
    <row r="48" spans="1:9" x14ac:dyDescent="0.35">
      <c r="A48" s="3" t="s">
        <v>31</v>
      </c>
      <c r="B48" s="6">
        <f>SUM(B36:B47)</f>
        <v>5767.27</v>
      </c>
      <c r="C48" s="6">
        <f>SUM(C36:C47)</f>
        <v>8875</v>
      </c>
      <c r="D48" s="6">
        <f>SUM(D36:D47)</f>
        <v>-3107.73</v>
      </c>
      <c r="F48" s="3" t="s">
        <v>31</v>
      </c>
      <c r="G48" s="6">
        <f>SUM(G37:G46)</f>
        <v>4489.26</v>
      </c>
      <c r="H48" s="6">
        <f>SUM(H37:H46)</f>
        <v>9925</v>
      </c>
      <c r="I48" s="6">
        <f>SUM(I37:I46)</f>
        <v>-5435.74</v>
      </c>
    </row>
    <row r="49" spans="1:9" x14ac:dyDescent="0.35">
      <c r="A49" s="3" t="s">
        <v>32</v>
      </c>
      <c r="B49" s="4">
        <v>0</v>
      </c>
      <c r="F49" s="3" t="s">
        <v>32</v>
      </c>
      <c r="G49" s="4">
        <v>0</v>
      </c>
    </row>
    <row r="50" spans="1:9" x14ac:dyDescent="0.35">
      <c r="A50" s="3" t="s">
        <v>33</v>
      </c>
      <c r="B50" s="5">
        <v>0</v>
      </c>
      <c r="C50" s="4">
        <v>0</v>
      </c>
      <c r="D50" s="16">
        <f t="shared" ref="D50:D51" si="10">B50-C50</f>
        <v>0</v>
      </c>
      <c r="F50" s="3" t="s">
        <v>33</v>
      </c>
      <c r="G50" s="5">
        <v>876.4</v>
      </c>
      <c r="H50" s="4">
        <v>0</v>
      </c>
      <c r="I50" s="16">
        <f t="shared" ref="I50:I51" si="11">G50-H50</f>
        <v>876.4</v>
      </c>
    </row>
    <row r="51" spans="1:9" x14ac:dyDescent="0.35">
      <c r="A51" s="3" t="s">
        <v>34</v>
      </c>
      <c r="B51" s="5">
        <v>0</v>
      </c>
      <c r="C51" s="5">
        <v>0</v>
      </c>
      <c r="D51" s="16">
        <f t="shared" si="10"/>
        <v>0</v>
      </c>
      <c r="F51" s="3" t="s">
        <v>34</v>
      </c>
      <c r="G51" s="5">
        <v>1109.43</v>
      </c>
      <c r="H51" s="5">
        <f>2500</f>
        <v>2500</v>
      </c>
      <c r="I51" s="16">
        <f t="shared" si="11"/>
        <v>-1390.57</v>
      </c>
    </row>
    <row r="52" spans="1:9" x14ac:dyDescent="0.35">
      <c r="A52" s="3" t="s">
        <v>35</v>
      </c>
      <c r="B52" s="6">
        <f>((B49)+(B50))+(B51)</f>
        <v>0</v>
      </c>
      <c r="C52" s="6">
        <f>((C49)+(C50))+(C51)</f>
        <v>0</v>
      </c>
      <c r="D52" s="6">
        <f>((D49)+(D50))+(D51)</f>
        <v>0</v>
      </c>
      <c r="F52" s="3" t="s">
        <v>35</v>
      </c>
      <c r="G52" s="6">
        <f>((G49)+(G50))+(G51)</f>
        <v>1985.83</v>
      </c>
      <c r="H52" s="6">
        <f>((H49)+(H50))+(H51)</f>
        <v>2500</v>
      </c>
      <c r="I52" s="6">
        <f>((I49)+(I50))+(I51)</f>
        <v>-514.16999999999996</v>
      </c>
    </row>
    <row r="53" spans="1:9" x14ac:dyDescent="0.35">
      <c r="A53" s="3" t="s">
        <v>36</v>
      </c>
      <c r="B53" s="4"/>
      <c r="F53" s="3" t="s">
        <v>36</v>
      </c>
      <c r="G53" s="4"/>
    </row>
    <row r="54" spans="1:9" x14ac:dyDescent="0.35">
      <c r="A54" s="3" t="s">
        <v>37</v>
      </c>
      <c r="B54" s="5">
        <v>3725</v>
      </c>
      <c r="C54" s="5">
        <f>10500</f>
        <v>10500</v>
      </c>
      <c r="D54" s="16">
        <f t="shared" ref="D54:D63" si="12">B54-C54</f>
        <v>-6775</v>
      </c>
      <c r="F54" s="3" t="s">
        <v>37</v>
      </c>
      <c r="G54" s="5">
        <f>2877.5-200</f>
        <v>2677.5</v>
      </c>
      <c r="H54" s="5">
        <f>10500</f>
        <v>10500</v>
      </c>
      <c r="I54" s="16">
        <f t="shared" ref="I54:I63" si="13">G54-H54</f>
        <v>-7822.5</v>
      </c>
    </row>
    <row r="55" spans="1:9" x14ac:dyDescent="0.35">
      <c r="A55" s="10" t="s">
        <v>83</v>
      </c>
      <c r="B55" s="4">
        <v>2231.06</v>
      </c>
      <c r="C55" s="4">
        <v>2160</v>
      </c>
      <c r="D55" s="16">
        <f t="shared" si="12"/>
        <v>71.059999999999945</v>
      </c>
      <c r="F55" s="10" t="s">
        <v>83</v>
      </c>
      <c r="G55" s="4">
        <f>573.5-200</f>
        <v>373.5</v>
      </c>
      <c r="H55" s="4">
        <v>0</v>
      </c>
      <c r="I55" s="16">
        <f t="shared" si="13"/>
        <v>373.5</v>
      </c>
    </row>
    <row r="56" spans="1:9" x14ac:dyDescent="0.35">
      <c r="A56" s="10" t="s">
        <v>72</v>
      </c>
      <c r="B56" s="4">
        <v>35416.61</v>
      </c>
      <c r="C56" s="5">
        <v>39000</v>
      </c>
      <c r="D56" s="16">
        <f t="shared" si="12"/>
        <v>-3583.3899999999994</v>
      </c>
      <c r="F56" s="10" t="s">
        <v>72</v>
      </c>
      <c r="G56" s="4">
        <v>0</v>
      </c>
      <c r="H56" s="5">
        <f>11500</f>
        <v>11500</v>
      </c>
      <c r="I56" s="16">
        <f t="shared" si="13"/>
        <v>-11500</v>
      </c>
    </row>
    <row r="57" spans="1:9" x14ac:dyDescent="0.35">
      <c r="A57" s="10" t="s">
        <v>92</v>
      </c>
      <c r="B57" s="4">
        <v>0</v>
      </c>
      <c r="C57" s="4">
        <v>5000</v>
      </c>
      <c r="D57" s="16">
        <f t="shared" si="12"/>
        <v>-5000</v>
      </c>
      <c r="F57" s="10" t="s">
        <v>73</v>
      </c>
      <c r="G57" s="4">
        <v>0</v>
      </c>
      <c r="H57" s="4">
        <v>0</v>
      </c>
      <c r="I57" s="16">
        <f t="shared" si="13"/>
        <v>0</v>
      </c>
    </row>
    <row r="58" spans="1:9" x14ac:dyDescent="0.35">
      <c r="A58" s="10" t="s">
        <v>93</v>
      </c>
      <c r="B58" s="4">
        <v>0</v>
      </c>
      <c r="C58" s="4">
        <v>3000</v>
      </c>
      <c r="D58" s="16">
        <f t="shared" si="12"/>
        <v>-3000</v>
      </c>
      <c r="F58" s="10" t="s">
        <v>74</v>
      </c>
      <c r="G58" s="4">
        <v>0</v>
      </c>
      <c r="H58" s="4">
        <v>0</v>
      </c>
      <c r="I58" s="16">
        <f t="shared" si="13"/>
        <v>0</v>
      </c>
    </row>
    <row r="59" spans="1:9" x14ac:dyDescent="0.35">
      <c r="A59" s="3" t="s">
        <v>38</v>
      </c>
      <c r="B59" s="5">
        <v>11860</v>
      </c>
      <c r="C59" s="5">
        <v>0</v>
      </c>
      <c r="D59" s="16">
        <f t="shared" si="12"/>
        <v>11860</v>
      </c>
      <c r="F59" s="3" t="s">
        <v>38</v>
      </c>
      <c r="G59" s="5">
        <f>36785-500</f>
        <v>36285</v>
      </c>
      <c r="H59" s="5">
        <f>30000</f>
        <v>30000</v>
      </c>
      <c r="I59" s="16">
        <f t="shared" si="13"/>
        <v>6285</v>
      </c>
    </row>
    <row r="60" spans="1:9" x14ac:dyDescent="0.35">
      <c r="A60" s="10" t="s">
        <v>76</v>
      </c>
      <c r="B60" s="4">
        <v>0</v>
      </c>
      <c r="C60" s="4">
        <v>1000</v>
      </c>
      <c r="D60" s="16">
        <f t="shared" si="12"/>
        <v>-1000</v>
      </c>
      <c r="F60" s="10" t="s">
        <v>76</v>
      </c>
      <c r="G60" s="4">
        <v>0</v>
      </c>
      <c r="H60" s="4">
        <v>1000</v>
      </c>
      <c r="I60" s="16">
        <f t="shared" si="13"/>
        <v>-1000</v>
      </c>
    </row>
    <row r="61" spans="1:9" x14ac:dyDescent="0.35">
      <c r="A61" s="3" t="s">
        <v>39</v>
      </c>
      <c r="B61" s="5">
        <v>2511.71</v>
      </c>
      <c r="C61" s="5">
        <v>4500</v>
      </c>
      <c r="D61" s="16">
        <f t="shared" si="12"/>
        <v>-1988.29</v>
      </c>
      <c r="F61" s="3" t="s">
        <v>39</v>
      </c>
      <c r="G61" s="5">
        <v>3078.06</v>
      </c>
      <c r="H61" s="5">
        <f>4000</f>
        <v>4000</v>
      </c>
      <c r="I61" s="16">
        <f t="shared" si="13"/>
        <v>-921.94</v>
      </c>
    </row>
    <row r="62" spans="1:9" x14ac:dyDescent="0.35">
      <c r="A62" s="3" t="s">
        <v>40</v>
      </c>
      <c r="B62" s="5">
        <v>241</v>
      </c>
      <c r="C62" s="4">
        <v>400</v>
      </c>
      <c r="D62" s="16">
        <f t="shared" si="12"/>
        <v>-159</v>
      </c>
      <c r="F62" s="3" t="s">
        <v>40</v>
      </c>
      <c r="G62" s="5">
        <v>227</v>
      </c>
      <c r="H62" s="4">
        <v>400</v>
      </c>
      <c r="I62" s="16">
        <f t="shared" si="13"/>
        <v>-173</v>
      </c>
    </row>
    <row r="63" spans="1:9" x14ac:dyDescent="0.35">
      <c r="A63" s="3" t="s">
        <v>41</v>
      </c>
      <c r="B63" s="5">
        <v>0</v>
      </c>
      <c r="C63" s="4">
        <v>500</v>
      </c>
      <c r="D63" s="16">
        <f t="shared" si="12"/>
        <v>-500</v>
      </c>
      <c r="F63" s="3" t="s">
        <v>41</v>
      </c>
      <c r="G63" s="5">
        <f>200+900</f>
        <v>1100</v>
      </c>
      <c r="H63" s="4">
        <v>500</v>
      </c>
      <c r="I63" s="16">
        <f t="shared" si="13"/>
        <v>600</v>
      </c>
    </row>
    <row r="64" spans="1:9" x14ac:dyDescent="0.35">
      <c r="A64" s="3" t="s">
        <v>42</v>
      </c>
      <c r="B64" s="6">
        <f>SUM(B54:B63)</f>
        <v>55985.38</v>
      </c>
      <c r="C64" s="6">
        <f>SUM(C54:C63)</f>
        <v>66060</v>
      </c>
      <c r="D64" s="6">
        <f>SUM(D54:D63)</f>
        <v>-10074.620000000003</v>
      </c>
      <c r="F64" s="3" t="s">
        <v>42</v>
      </c>
      <c r="G64" s="6">
        <f>SUM(G54:G63)</f>
        <v>43741.06</v>
      </c>
      <c r="H64" s="6">
        <f>SUM(H54:H63)</f>
        <v>57900</v>
      </c>
      <c r="I64" s="6">
        <f>SUM(I54:I63)</f>
        <v>-14158.94</v>
      </c>
    </row>
    <row r="65" spans="1:9" x14ac:dyDescent="0.35">
      <c r="A65" s="3" t="s">
        <v>43</v>
      </c>
      <c r="B65" s="4"/>
      <c r="F65" s="3" t="s">
        <v>43</v>
      </c>
      <c r="G65" s="4"/>
    </row>
    <row r="66" spans="1:9" x14ac:dyDescent="0.35">
      <c r="A66" s="3" t="s">
        <v>44</v>
      </c>
      <c r="B66" s="5">
        <v>28.17</v>
      </c>
      <c r="C66" s="5">
        <f>600</f>
        <v>600</v>
      </c>
      <c r="D66" s="16">
        <f t="shared" ref="D66:D79" si="14">B66-C66</f>
        <v>-571.83000000000004</v>
      </c>
      <c r="F66" s="3" t="s">
        <v>44</v>
      </c>
      <c r="G66" s="5">
        <v>198.95</v>
      </c>
      <c r="H66" s="5">
        <f>600</f>
        <v>600</v>
      </c>
      <c r="I66" s="16">
        <f t="shared" ref="I66:I75" si="15">G66-H66</f>
        <v>-401.05</v>
      </c>
    </row>
    <row r="67" spans="1:9" x14ac:dyDescent="0.35">
      <c r="A67" s="3" t="s">
        <v>45</v>
      </c>
      <c r="B67" s="5">
        <v>1230</v>
      </c>
      <c r="C67" s="5">
        <v>1500</v>
      </c>
      <c r="D67" s="16">
        <f t="shared" si="14"/>
        <v>-270</v>
      </c>
      <c r="F67" s="3" t="s">
        <v>45</v>
      </c>
      <c r="G67" s="5">
        <v>1195</v>
      </c>
      <c r="H67" s="5">
        <f>1200</f>
        <v>1200</v>
      </c>
      <c r="I67" s="16">
        <f t="shared" si="15"/>
        <v>-5</v>
      </c>
    </row>
    <row r="68" spans="1:9" x14ac:dyDescent="0.35">
      <c r="A68" s="3" t="s">
        <v>46</v>
      </c>
      <c r="B68" s="5">
        <v>205.16</v>
      </c>
      <c r="C68" s="5">
        <f>300</f>
        <v>300</v>
      </c>
      <c r="D68" s="16">
        <f t="shared" si="14"/>
        <v>-94.84</v>
      </c>
      <c r="F68" s="3" t="s">
        <v>46</v>
      </c>
      <c r="G68" s="5">
        <v>199.2</v>
      </c>
      <c r="H68" s="5">
        <f>300</f>
        <v>300</v>
      </c>
      <c r="I68" s="16">
        <f t="shared" si="15"/>
        <v>-100.80000000000001</v>
      </c>
    </row>
    <row r="69" spans="1:9" x14ac:dyDescent="0.35">
      <c r="A69" s="3" t="s">
        <v>47</v>
      </c>
      <c r="B69" s="5">
        <v>2108.2800000000002</v>
      </c>
      <c r="C69" s="5">
        <v>2500</v>
      </c>
      <c r="D69" s="16">
        <f t="shared" si="14"/>
        <v>-391.7199999999998</v>
      </c>
      <c r="F69" s="3" t="s">
        <v>47</v>
      </c>
      <c r="G69" s="5">
        <v>3155.68</v>
      </c>
      <c r="H69" s="5">
        <f>700</f>
        <v>700</v>
      </c>
      <c r="I69" s="16">
        <f t="shared" si="15"/>
        <v>2455.6799999999998</v>
      </c>
    </row>
    <row r="70" spans="1:9" x14ac:dyDescent="0.35">
      <c r="A70" s="3" t="s">
        <v>48</v>
      </c>
      <c r="B70" s="5">
        <v>3625.88</v>
      </c>
      <c r="C70" s="5">
        <f>2500</f>
        <v>2500</v>
      </c>
      <c r="D70" s="16">
        <f t="shared" si="14"/>
        <v>1125.8800000000001</v>
      </c>
      <c r="F70" s="3" t="s">
        <v>48</v>
      </c>
      <c r="G70" s="5">
        <v>1134.4100000000001</v>
      </c>
      <c r="H70" s="5">
        <f>2500</f>
        <v>2500</v>
      </c>
      <c r="I70" s="16">
        <f t="shared" si="15"/>
        <v>-1365.59</v>
      </c>
    </row>
    <row r="71" spans="1:9" x14ac:dyDescent="0.35">
      <c r="A71" s="3" t="s">
        <v>49</v>
      </c>
      <c r="B71" s="5">
        <v>224.9</v>
      </c>
      <c r="C71" s="5">
        <f>250</f>
        <v>250</v>
      </c>
      <c r="D71" s="16">
        <f t="shared" si="14"/>
        <v>-25.099999999999994</v>
      </c>
      <c r="F71" s="3" t="s">
        <v>49</v>
      </c>
      <c r="G71" s="5">
        <v>240</v>
      </c>
      <c r="H71" s="5">
        <f>250</f>
        <v>250</v>
      </c>
      <c r="I71" s="16">
        <f t="shared" si="15"/>
        <v>-10</v>
      </c>
    </row>
    <row r="72" spans="1:9" x14ac:dyDescent="0.35">
      <c r="A72" s="3" t="s">
        <v>50</v>
      </c>
      <c r="B72" s="5">
        <v>0</v>
      </c>
      <c r="C72" s="4">
        <v>0</v>
      </c>
      <c r="D72" s="16">
        <f t="shared" si="14"/>
        <v>0</v>
      </c>
      <c r="F72" s="3" t="s">
        <v>50</v>
      </c>
      <c r="G72" s="5">
        <v>841.68</v>
      </c>
      <c r="H72" s="4">
        <v>0</v>
      </c>
      <c r="I72" s="16">
        <f t="shared" si="15"/>
        <v>841.68</v>
      </c>
    </row>
    <row r="73" spans="1:9" x14ac:dyDescent="0.35">
      <c r="A73" s="3" t="s">
        <v>51</v>
      </c>
      <c r="B73" s="5">
        <v>1722.24</v>
      </c>
      <c r="C73" s="5">
        <v>2000</v>
      </c>
      <c r="D73" s="16">
        <f t="shared" si="14"/>
        <v>-277.76</v>
      </c>
      <c r="F73" s="3" t="s">
        <v>51</v>
      </c>
      <c r="G73" s="5">
        <v>1322.02</v>
      </c>
      <c r="H73" s="5">
        <f>2500</f>
        <v>2500</v>
      </c>
      <c r="I73" s="16">
        <f t="shared" si="15"/>
        <v>-1177.98</v>
      </c>
    </row>
    <row r="74" spans="1:9" x14ac:dyDescent="0.35">
      <c r="A74" s="10" t="s">
        <v>77</v>
      </c>
      <c r="B74" s="5">
        <v>0</v>
      </c>
      <c r="C74" s="5">
        <v>300</v>
      </c>
      <c r="D74" s="16">
        <f t="shared" si="14"/>
        <v>-300</v>
      </c>
      <c r="F74" s="10" t="s">
        <v>77</v>
      </c>
      <c r="G74" s="5">
        <v>0</v>
      </c>
      <c r="H74" s="5">
        <v>300</v>
      </c>
      <c r="I74" s="16">
        <f t="shared" si="15"/>
        <v>-300</v>
      </c>
    </row>
    <row r="75" spans="1:9" x14ac:dyDescent="0.35">
      <c r="A75" s="3" t="s">
        <v>52</v>
      </c>
      <c r="B75" s="5">
        <v>871.84</v>
      </c>
      <c r="C75" s="5">
        <v>2000</v>
      </c>
      <c r="D75" s="16">
        <f t="shared" si="14"/>
        <v>-1128.1599999999999</v>
      </c>
      <c r="F75" s="3" t="s">
        <v>52</v>
      </c>
      <c r="G75" s="5">
        <v>2078.5700000000002</v>
      </c>
      <c r="H75" s="5">
        <f>1500</f>
        <v>1500</v>
      </c>
      <c r="I75" s="16">
        <f t="shared" si="15"/>
        <v>578.57000000000016</v>
      </c>
    </row>
    <row r="76" spans="1:9" x14ac:dyDescent="0.35">
      <c r="A76" s="3" t="s">
        <v>53</v>
      </c>
      <c r="B76" s="6">
        <f>B72+B73+B74+B75</f>
        <v>2594.08</v>
      </c>
      <c r="C76" s="6">
        <f>C72+C73+C74+C75</f>
        <v>4300</v>
      </c>
      <c r="D76" s="12">
        <f>D72+D73+D74+D75</f>
        <v>-1705.9199999999998</v>
      </c>
      <c r="F76" s="3" t="s">
        <v>53</v>
      </c>
      <c r="G76" s="6">
        <f>G72+G73+G74+G75</f>
        <v>4242.2700000000004</v>
      </c>
      <c r="H76" s="6">
        <f>H72+H73+H74+H75</f>
        <v>4300</v>
      </c>
      <c r="I76" s="12">
        <f>I72+I73+I74+I75</f>
        <v>-57.729999999999905</v>
      </c>
    </row>
    <row r="77" spans="1:9" x14ac:dyDescent="0.35">
      <c r="A77" s="3" t="s">
        <v>54</v>
      </c>
      <c r="B77" s="6">
        <f>(((((((B65)+(B66))+(B67))+(B68))+(B69))+(B70))+(B71))+(B76)</f>
        <v>10016.470000000001</v>
      </c>
      <c r="C77" s="6">
        <f>(((((((C65)+(C66))+(C67))+(C68))+(C69))+(C70))+(C71))+(C76)</f>
        <v>11950</v>
      </c>
      <c r="D77" s="16">
        <f t="shared" si="14"/>
        <v>-1933.5299999999988</v>
      </c>
      <c r="F77" s="3" t="s">
        <v>54</v>
      </c>
      <c r="G77" s="6">
        <f>(((((((G65)+(G66))+(G67))+(G68))+(G69))+(G70))+(G71))+(G76)</f>
        <v>10365.51</v>
      </c>
      <c r="H77" s="6">
        <f>(((((((H65)+(H66))+(H67))+(H68))+(H69))+(H70))+(H71))+(H76)</f>
        <v>9850</v>
      </c>
      <c r="I77" s="16">
        <f t="shared" ref="I77:I79" si="16">G77-H77</f>
        <v>515.51000000000022</v>
      </c>
    </row>
    <row r="78" spans="1:9" x14ac:dyDescent="0.35">
      <c r="A78" s="3" t="s">
        <v>55</v>
      </c>
      <c r="B78" s="5">
        <v>0</v>
      </c>
      <c r="C78" s="4">
        <v>0</v>
      </c>
      <c r="D78" s="16">
        <f t="shared" si="14"/>
        <v>0</v>
      </c>
      <c r="F78" s="3" t="s">
        <v>55</v>
      </c>
      <c r="G78" s="5">
        <v>7069.44</v>
      </c>
      <c r="H78" s="4">
        <v>0</v>
      </c>
      <c r="I78" s="16">
        <f t="shared" si="16"/>
        <v>7069.44</v>
      </c>
    </row>
    <row r="79" spans="1:9" x14ac:dyDescent="0.35">
      <c r="A79" s="3" t="s">
        <v>56</v>
      </c>
      <c r="B79" s="5">
        <f>0</f>
        <v>0</v>
      </c>
      <c r="C79" s="4">
        <v>0</v>
      </c>
      <c r="D79" s="16">
        <f t="shared" si="14"/>
        <v>0</v>
      </c>
      <c r="F79" s="3" t="s">
        <v>56</v>
      </c>
      <c r="G79" s="5">
        <f>0</f>
        <v>0</v>
      </c>
      <c r="H79" s="4">
        <v>0</v>
      </c>
      <c r="I79" s="16">
        <f t="shared" si="16"/>
        <v>0</v>
      </c>
    </row>
    <row r="80" spans="1:9" x14ac:dyDescent="0.35">
      <c r="A80" s="3" t="s">
        <v>57</v>
      </c>
      <c r="B80" s="6">
        <f>((((((((B21)+(B28))+(B34))+(B48))+(B52))+(B64))+(B77))+(B78))+(B79)</f>
        <v>89489.08</v>
      </c>
      <c r="C80" s="6">
        <f>((((((((C21)+(C28))+(C34))+(C48))+(C52))+(C64))+(C77))+(C78))+(C79)</f>
        <v>102835</v>
      </c>
      <c r="D80" s="6">
        <f>((((((((D21)+(D28))+(D34))+(D48))+(D52))+(D64))+(D77))+(D78))+(D79)</f>
        <v>-13345.92</v>
      </c>
      <c r="F80" s="3" t="s">
        <v>57</v>
      </c>
      <c r="G80" s="6">
        <f>((((((((G21)+(G28))+(G34))+(G48))+(G52))+(G64))+(G77))+(G78))+(G79)</f>
        <v>80641.06</v>
      </c>
      <c r="H80" s="6">
        <f>((((((((H21)+(H28))+(H34))+(H48))+(H52))+(H64))+(H77))+(H78))+(H79)</f>
        <v>98825</v>
      </c>
      <c r="I80" s="6">
        <f>((((((((I21)+(I28))+(I34))+(I48))+(I52))+(I64))+(I77))+(I78))+(I79)</f>
        <v>-18183.939999999999</v>
      </c>
    </row>
    <row r="81" spans="1:9" x14ac:dyDescent="0.35">
      <c r="A81" s="3" t="s">
        <v>58</v>
      </c>
      <c r="B81" s="6">
        <f>(B15)-(B80)</f>
        <v>38415.729999999996</v>
      </c>
      <c r="C81" s="6">
        <f>(C15)-(C80)</f>
        <v>19415</v>
      </c>
      <c r="D81" s="6">
        <f>(D15)-(D80)</f>
        <v>19000.730000000003</v>
      </c>
      <c r="F81" s="3" t="s">
        <v>58</v>
      </c>
      <c r="G81" s="6">
        <f>(G15)-(G80)</f>
        <v>11015.540000000008</v>
      </c>
      <c r="H81" s="6">
        <f>(H15)-(H80)</f>
        <v>9175</v>
      </c>
      <c r="I81" s="6">
        <f>(I15)-(I80)</f>
        <v>1840.5400000000027</v>
      </c>
    </row>
    <row r="82" spans="1:9" x14ac:dyDescent="0.35">
      <c r="A82" s="10" t="s">
        <v>78</v>
      </c>
      <c r="B82" s="14"/>
      <c r="C82" s="14"/>
      <c r="D82" s="14"/>
      <c r="F82" s="10" t="s">
        <v>78</v>
      </c>
      <c r="G82" s="14"/>
      <c r="H82" s="14"/>
      <c r="I82" s="14"/>
    </row>
    <row r="83" spans="1:9" x14ac:dyDescent="0.35">
      <c r="A83" s="3" t="s">
        <v>59</v>
      </c>
      <c r="B83" s="4"/>
      <c r="F83" s="3" t="s">
        <v>59</v>
      </c>
      <c r="G83" s="4"/>
    </row>
    <row r="84" spans="1:9" x14ac:dyDescent="0.35">
      <c r="A84" s="3" t="s">
        <v>60</v>
      </c>
      <c r="B84" s="5">
        <v>2832</v>
      </c>
      <c r="C84" s="5">
        <f>3500</f>
        <v>3500</v>
      </c>
      <c r="D84" s="16">
        <f t="shared" ref="D84" si="17">B84-C84</f>
        <v>-668</v>
      </c>
      <c r="F84" s="3" t="s">
        <v>60</v>
      </c>
      <c r="G84" s="5">
        <v>2844</v>
      </c>
      <c r="H84" s="5">
        <f>3500</f>
        <v>3500</v>
      </c>
      <c r="I84" s="16">
        <f t="shared" ref="I84" si="18">G84-H84</f>
        <v>-656</v>
      </c>
    </row>
    <row r="85" spans="1:9" x14ac:dyDescent="0.35">
      <c r="A85" s="3" t="s">
        <v>61</v>
      </c>
      <c r="B85" s="6">
        <f>B84</f>
        <v>2832</v>
      </c>
      <c r="C85" s="6">
        <f>C84</f>
        <v>3500</v>
      </c>
      <c r="D85" s="6">
        <f>D84</f>
        <v>-668</v>
      </c>
      <c r="F85" s="3" t="s">
        <v>61</v>
      </c>
      <c r="G85" s="6">
        <f>G84</f>
        <v>2844</v>
      </c>
      <c r="H85" s="6">
        <f>H84</f>
        <v>3500</v>
      </c>
      <c r="I85" s="6">
        <f>I84</f>
        <v>-656</v>
      </c>
    </row>
    <row r="86" spans="1:9" x14ac:dyDescent="0.35">
      <c r="A86" s="3" t="s">
        <v>62</v>
      </c>
      <c r="B86" s="6">
        <f>(0)-(B85)</f>
        <v>-2832</v>
      </c>
      <c r="C86" s="6">
        <f>(0)-(C85)</f>
        <v>-3500</v>
      </c>
      <c r="D86" s="6">
        <f>(0)-(D85)</f>
        <v>668</v>
      </c>
      <c r="F86" s="3" t="s">
        <v>62</v>
      </c>
      <c r="G86" s="6">
        <f>(0)-(G85)</f>
        <v>-2844</v>
      </c>
      <c r="H86" s="6">
        <f>(0)-(H85)</f>
        <v>-3500</v>
      </c>
      <c r="I86" s="6">
        <f>(0)-(I85)</f>
        <v>656</v>
      </c>
    </row>
    <row r="87" spans="1:9" x14ac:dyDescent="0.35">
      <c r="A87" s="3" t="s">
        <v>63</v>
      </c>
      <c r="B87" s="7">
        <f>(B81)+(B86)</f>
        <v>35583.729999999996</v>
      </c>
      <c r="C87" s="7">
        <f>(C81)+(C86)</f>
        <v>15915</v>
      </c>
      <c r="D87" s="7">
        <f>(D81)+(D86)</f>
        <v>19668.730000000003</v>
      </c>
      <c r="F87" s="3" t="s">
        <v>63</v>
      </c>
      <c r="G87" s="7">
        <f>(G81)+(G86)</f>
        <v>8171.5400000000081</v>
      </c>
      <c r="H87" s="7">
        <f>(H81)+(H86)</f>
        <v>5675</v>
      </c>
      <c r="I87" s="7">
        <f>(I81)+(I86)</f>
        <v>2496.5400000000027</v>
      </c>
    </row>
    <row r="89" spans="1:9" x14ac:dyDescent="0.35">
      <c r="B89" s="13"/>
      <c r="C89" s="13"/>
      <c r="D89" s="13"/>
      <c r="G89" s="13"/>
      <c r="H89" s="13"/>
      <c r="I89" s="13"/>
    </row>
    <row r="90" spans="1:9" x14ac:dyDescent="0.35">
      <c r="C90" s="13"/>
      <c r="D90" s="13"/>
    </row>
    <row r="91" spans="1:9" x14ac:dyDescent="0.35">
      <c r="D91" s="17"/>
    </row>
  </sheetData>
  <mergeCells count="6">
    <mergeCell ref="A1:B1"/>
    <mergeCell ref="A2:B2"/>
    <mergeCell ref="A3:B3"/>
    <mergeCell ref="F3:G3"/>
    <mergeCell ref="F2:G2"/>
    <mergeCell ref="F1:G1"/>
  </mergeCells>
  <pageMargins left="0.7" right="0.7" top="0.75" bottom="0.75" header="0.3" footer="0.3"/>
  <pageSetup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and Loss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 Oliver Jones</cp:lastModifiedBy>
  <cp:lastPrinted>2025-10-12T02:34:16Z</cp:lastPrinted>
  <dcterms:created xsi:type="dcterms:W3CDTF">2024-10-27T20:11:13Z</dcterms:created>
  <dcterms:modified xsi:type="dcterms:W3CDTF">2026-01-08T18:06:48Z</dcterms:modified>
</cp:coreProperties>
</file>