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loudadminsallianthealth-my.sharepoint.com/personal/rukiya_campbell_allianthealth_org/Documents/Task Order 1/"/>
    </mc:Choice>
  </mc:AlternateContent>
  <xr:revisionPtr revIDLastSave="0" documentId="8_{7CBF3995-47DE-4BAD-AA6E-43E4131B7151}" xr6:coauthVersionLast="47" xr6:coauthVersionMax="47" xr10:uidLastSave="{00000000-0000-0000-0000-000000000000}"/>
  <bookViews>
    <workbookView xWindow="-22470" yWindow="60" windowWidth="20730" windowHeight="11835" activeTab="4" xr2:uid="{00000000-000D-0000-FFFF-FFFF00000000}"/>
  </bookViews>
  <sheets>
    <sheet name="Readmissions Data Sheet Master" sheetId="1" r:id="rId1"/>
    <sheet name="Graphs" sheetId="3" r:id="rId2"/>
    <sheet name="Resources" sheetId="2" r:id="rId3"/>
    <sheet name="Instructions" sheetId="4" r:id="rId4"/>
    <sheet name="Disclaimer" sheetId="5" r:id="rId5"/>
  </sheets>
  <definedNames>
    <definedName name="_xlnm._FilterDatabase" localSheetId="0" hidden="1">'Readmissions Data Sheet Master'!$A$1:$O$52</definedName>
    <definedName name="_xlnm.Print_Area" localSheetId="0">'Readmissions Data Sheet Master'!$A$1:$N$50</definedName>
    <definedName name="_xlnm.Print_Titles" localSheetId="0">'Readmissions Data Sheet Master'!$1:$2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2" i="3" l="1"/>
  <c r="B73" i="3"/>
  <c r="A73" i="3"/>
  <c r="A101" i="3"/>
  <c r="A102" i="3"/>
  <c r="A103" i="3"/>
  <c r="A104" i="3"/>
  <c r="A105" i="3"/>
  <c r="A106" i="3"/>
  <c r="A107" i="3"/>
  <c r="A108" i="3"/>
  <c r="A109" i="3"/>
  <c r="A110" i="3"/>
  <c r="A111" i="3"/>
  <c r="A113" i="3"/>
  <c r="A74" i="3"/>
  <c r="A75" i="3"/>
  <c r="A76" i="3"/>
  <c r="A77" i="3"/>
  <c r="A78" i="3"/>
  <c r="A79" i="3"/>
  <c r="A80" i="3"/>
  <c r="A81" i="3"/>
  <c r="A82" i="3"/>
  <c r="A83" i="3"/>
  <c r="A84" i="3"/>
  <c r="A85" i="3"/>
  <c r="A86" i="3"/>
  <c r="A87" i="3"/>
  <c r="A88" i="3"/>
  <c r="A89" i="3"/>
  <c r="A90" i="3"/>
  <c r="A91" i="3"/>
  <c r="A92" i="3"/>
  <c r="A93" i="3"/>
  <c r="A94" i="3"/>
  <c r="A95" i="3"/>
  <c r="A41" i="3"/>
  <c r="A42" i="3"/>
  <c r="A43" i="3"/>
  <c r="A44" i="3"/>
  <c r="A45" i="3"/>
  <c r="A46" i="3"/>
  <c r="A47" i="3"/>
  <c r="A48" i="3"/>
  <c r="A49" i="3"/>
  <c r="A50" i="3"/>
  <c r="A51" i="3"/>
  <c r="A52" i="3"/>
  <c r="A53" i="3"/>
  <c r="A54" i="3"/>
  <c r="A55" i="3"/>
  <c r="A56" i="3"/>
  <c r="A57" i="3"/>
  <c r="A58" i="3"/>
  <c r="A59" i="3"/>
  <c r="A60" i="3"/>
  <c r="A61" i="3"/>
  <c r="A62" i="3"/>
  <c r="A63" i="3"/>
  <c r="A64" i="3"/>
  <c r="V19" i="3"/>
  <c r="U19" i="3"/>
  <c r="V18" i="3"/>
  <c r="U18" i="3"/>
  <c r="V17" i="3"/>
  <c r="U17" i="3"/>
  <c r="V16" i="3"/>
  <c r="U16" i="3"/>
  <c r="V15" i="3"/>
  <c r="U15" i="3"/>
  <c r="V14" i="3"/>
  <c r="U14" i="3"/>
  <c r="V13" i="3"/>
  <c r="U13" i="3"/>
  <c r="V12" i="3"/>
  <c r="U12" i="3"/>
  <c r="V11" i="3"/>
  <c r="U11" i="3"/>
  <c r="V10" i="3"/>
  <c r="U10" i="3"/>
  <c r="V9" i="3"/>
  <c r="U9" i="3"/>
  <c r="V8" i="3"/>
  <c r="U8" i="3"/>
  <c r="B129" i="3"/>
  <c r="B133" i="3"/>
  <c r="B132" i="3"/>
  <c r="B131" i="3"/>
  <c r="B130" i="3"/>
  <c r="A129" i="3"/>
  <c r="A133" i="3"/>
  <c r="A132" i="3"/>
  <c r="A131" i="3"/>
  <c r="A130" i="3"/>
  <c r="B113" i="3"/>
  <c r="B111" i="3"/>
  <c r="B110" i="3"/>
  <c r="B109" i="3"/>
  <c r="B108" i="3"/>
  <c r="B123" i="3"/>
  <c r="B122" i="3"/>
  <c r="B121" i="3"/>
  <c r="B120" i="3"/>
  <c r="B119" i="3"/>
  <c r="B107" i="3"/>
  <c r="B106" i="3"/>
  <c r="B105" i="3"/>
  <c r="B104" i="3"/>
  <c r="B103" i="3"/>
  <c r="B102" i="3"/>
  <c r="B101" i="3"/>
  <c r="B95" i="3"/>
  <c r="B94" i="3"/>
  <c r="B93" i="3"/>
  <c r="B92" i="3"/>
  <c r="B91" i="3"/>
  <c r="B90" i="3"/>
  <c r="B89" i="3"/>
  <c r="B88" i="3"/>
  <c r="B87" i="3"/>
  <c r="B86" i="3"/>
  <c r="B85" i="3"/>
  <c r="B84" i="3"/>
  <c r="B83" i="3"/>
  <c r="B82" i="3"/>
  <c r="B81" i="3"/>
  <c r="B80" i="3"/>
  <c r="B79" i="3"/>
  <c r="B78" i="3"/>
  <c r="B77" i="3"/>
  <c r="B76" i="3"/>
  <c r="B75" i="3"/>
  <c r="B74" i="3"/>
  <c r="B62" i="3"/>
  <c r="B61" i="3"/>
  <c r="B60" i="3"/>
  <c r="B59" i="3"/>
  <c r="B43" i="3"/>
  <c r="B67" i="3"/>
  <c r="B66" i="3"/>
  <c r="B65" i="3"/>
  <c r="B64" i="3"/>
  <c r="B63" i="3"/>
  <c r="B58" i="3"/>
  <c r="B57" i="3"/>
  <c r="B56" i="3"/>
  <c r="B55" i="3"/>
  <c r="B54" i="3"/>
  <c r="B53" i="3"/>
  <c r="B52" i="3"/>
  <c r="B51" i="3"/>
  <c r="B50" i="3"/>
  <c r="B49" i="3"/>
  <c r="B48" i="3"/>
  <c r="B47" i="3"/>
  <c r="B46" i="3"/>
  <c r="B44" i="3"/>
  <c r="B42" i="3"/>
  <c r="B41" i="3"/>
  <c r="B45" i="3"/>
  <c r="V20" i="3" l="1"/>
  <c r="W15" i="3" s="1"/>
  <c r="W8" i="3"/>
  <c r="W20" i="3" s="1"/>
  <c r="B134" i="3"/>
  <c r="C130" i="3" s="1"/>
  <c r="B114" i="3"/>
  <c r="C108" i="3" s="1"/>
  <c r="B28" i="3"/>
  <c r="B31" i="3"/>
  <c r="B30" i="3"/>
  <c r="B29" i="3"/>
  <c r="B8" i="3"/>
  <c r="A52" i="1"/>
  <c r="C112" i="3" l="1"/>
  <c r="W13" i="3"/>
  <c r="W18" i="3"/>
  <c r="W16" i="3"/>
  <c r="W10" i="3"/>
  <c r="W19" i="3"/>
  <c r="W9" i="3"/>
  <c r="W12" i="3"/>
  <c r="W14" i="3"/>
  <c r="W17" i="3"/>
  <c r="W11" i="3"/>
  <c r="C131" i="3"/>
  <c r="C133" i="3"/>
  <c r="C129" i="3"/>
  <c r="C132" i="3"/>
  <c r="B32" i="3"/>
  <c r="B2" i="3"/>
  <c r="B1" i="3"/>
  <c r="C134" i="3" l="1"/>
  <c r="B3" i="3"/>
  <c r="B14" i="3"/>
  <c r="B13" i="3"/>
  <c r="B12" i="3"/>
  <c r="B11" i="3"/>
  <c r="B10" i="3"/>
  <c r="B9" i="3"/>
  <c r="B21" i="3"/>
  <c r="B20" i="3"/>
  <c r="B19" i="3"/>
  <c r="B96" i="3" l="1"/>
  <c r="B15" i="3"/>
  <c r="B124" i="3"/>
  <c r="B68" i="3"/>
  <c r="C54" i="3" s="1"/>
  <c r="B22" i="3"/>
  <c r="C19" i="3" s="1"/>
  <c r="C123" i="3" l="1"/>
  <c r="C122" i="3"/>
  <c r="C121" i="3"/>
  <c r="C113" i="3"/>
  <c r="C111" i="3"/>
  <c r="C110" i="3"/>
  <c r="C109" i="3"/>
  <c r="C95" i="3"/>
  <c r="C94" i="3"/>
  <c r="C92" i="3"/>
  <c r="C84" i="3"/>
  <c r="C89" i="3"/>
  <c r="C85" i="3"/>
  <c r="C91" i="3"/>
  <c r="C83" i="3"/>
  <c r="C82" i="3"/>
  <c r="C81" i="3"/>
  <c r="C93" i="3"/>
  <c r="C90" i="3"/>
  <c r="C88" i="3"/>
  <c r="C80" i="3"/>
  <c r="C87" i="3"/>
  <c r="C79" i="3"/>
  <c r="C86" i="3"/>
  <c r="C66" i="3"/>
  <c r="C58" i="3"/>
  <c r="C51" i="3"/>
  <c r="C65" i="3"/>
  <c r="C57" i="3"/>
  <c r="C55" i="3"/>
  <c r="C64" i="3"/>
  <c r="C56" i="3"/>
  <c r="C63" i="3"/>
  <c r="C59" i="3"/>
  <c r="C62" i="3"/>
  <c r="C53" i="3"/>
  <c r="C60" i="3"/>
  <c r="C61" i="3"/>
  <c r="C52" i="3"/>
  <c r="C46" i="3"/>
  <c r="C50" i="3"/>
  <c r="C101" i="3"/>
  <c r="C78" i="3"/>
  <c r="C77" i="3"/>
  <c r="C120" i="3"/>
  <c r="C119" i="3"/>
  <c r="C47" i="3"/>
  <c r="C43" i="3"/>
  <c r="C49" i="3"/>
  <c r="C48" i="3"/>
  <c r="C45" i="3"/>
  <c r="C42" i="3"/>
  <c r="C67" i="3"/>
  <c r="C44" i="3"/>
  <c r="C41" i="3"/>
  <c r="C107" i="3"/>
  <c r="C106" i="3"/>
  <c r="C105" i="3"/>
  <c r="C104" i="3"/>
  <c r="C103" i="3"/>
  <c r="C102" i="3"/>
  <c r="C74" i="3"/>
  <c r="C75" i="3"/>
  <c r="C73" i="3"/>
  <c r="C76" i="3"/>
  <c r="C29" i="3"/>
  <c r="C31" i="3"/>
  <c r="C28" i="3"/>
  <c r="C30" i="3"/>
  <c r="C21" i="3"/>
  <c r="C20" i="3"/>
  <c r="C14" i="3"/>
  <c r="C32" i="3" l="1"/>
  <c r="C114" i="3"/>
  <c r="C96" i="3"/>
  <c r="C124" i="3"/>
  <c r="C22" i="3"/>
  <c r="C68" i="3"/>
  <c r="C8" i="3"/>
  <c r="C11" i="3"/>
  <c r="C13" i="3"/>
  <c r="C12" i="3"/>
  <c r="C10" i="3"/>
  <c r="C9" i="3"/>
  <c r="C15" i="3" l="1"/>
</calcChain>
</file>

<file path=xl/sharedStrings.xml><?xml version="1.0" encoding="utf-8"?>
<sst xmlns="http://schemas.openxmlformats.org/spreadsheetml/2006/main" count="195" uniqueCount="167">
  <si>
    <t>Monthly Unplanned Discharge Tracking</t>
  </si>
  <si>
    <t>Resident</t>
  </si>
  <si>
    <t>Date of Transfer</t>
  </si>
  <si>
    <t>Unit</t>
  </si>
  <si>
    <t>Licensed staff transferring</t>
  </si>
  <si>
    <t>Clinician Ordering Transfer</t>
  </si>
  <si>
    <t>Payer</t>
  </si>
  <si>
    <t xml:space="preserve">Day       </t>
  </si>
  <si>
    <r>
      <rPr>
        <b/>
        <sz val="9"/>
        <color theme="1"/>
        <rFont val="Calibri"/>
        <family val="2"/>
        <scheme val="minor"/>
      </rPr>
      <t>Shift</t>
    </r>
    <r>
      <rPr>
        <sz val="9"/>
        <color theme="1"/>
        <rFont val="Calibri"/>
        <family val="2"/>
        <scheme val="minor"/>
      </rPr>
      <t xml:space="preserve">             </t>
    </r>
  </si>
  <si>
    <t>Primary sign/symptom leading ot transfer</t>
  </si>
  <si>
    <t>Primary Diagnosis/Presumed diagnosis leading to transfer</t>
  </si>
  <si>
    <t>Primary contributing reason for transfer</t>
  </si>
  <si>
    <t>Outcome of Transfer</t>
  </si>
  <si>
    <t>Notes</t>
  </si>
  <si>
    <t>Total Discharges</t>
  </si>
  <si>
    <t>Total Census Days</t>
  </si>
  <si>
    <t>Falls Rate</t>
  </si>
  <si>
    <t>Hospital Discharges for Month by Day of Week</t>
  </si>
  <si>
    <t>Units</t>
  </si>
  <si>
    <t>Day of Week</t>
  </si>
  <si>
    <t># by Day</t>
  </si>
  <si>
    <t>% by Day</t>
  </si>
  <si>
    <t># by Unit</t>
  </si>
  <si>
    <t>% by Unit</t>
  </si>
  <si>
    <t>Sunday</t>
  </si>
  <si>
    <t>Monday</t>
  </si>
  <si>
    <t>Tuesday</t>
  </si>
  <si>
    <t xml:space="preserve">Wednesday </t>
  </si>
  <si>
    <t>Thursday</t>
  </si>
  <si>
    <t>Friday</t>
  </si>
  <si>
    <t>Saturday</t>
  </si>
  <si>
    <t>Total</t>
  </si>
  <si>
    <t>Hospital Discharges for Month by Shift</t>
  </si>
  <si>
    <t>Days of Week</t>
  </si>
  <si>
    <t># by shift</t>
  </si>
  <si>
    <t>% by shift</t>
  </si>
  <si>
    <t>1st</t>
  </si>
  <si>
    <t>2nd</t>
  </si>
  <si>
    <t>3rd</t>
  </si>
  <si>
    <t xml:space="preserve">Time of transfer Statistical Summary </t>
  </si>
  <si>
    <t>Time Span</t>
  </si>
  <si>
    <t>#</t>
  </si>
  <si>
    <t>% of Total</t>
  </si>
  <si>
    <t>Morning: 7 AM- Noon</t>
  </si>
  <si>
    <t>Afternoon: Noon- 7 PM</t>
  </si>
  <si>
    <t>Evening: 7 PM- Midnight</t>
  </si>
  <si>
    <t>Night: Midnight- 7 AM</t>
  </si>
  <si>
    <t>Symptom</t>
  </si>
  <si>
    <t># Symptom</t>
  </si>
  <si>
    <t>% Symptoms</t>
  </si>
  <si>
    <t>Urinary incontinence</t>
  </si>
  <si>
    <t>Weight loss</t>
  </si>
  <si>
    <t>Other sign/symptom</t>
  </si>
  <si>
    <t>Primary Diagnosis/Presumed Diagnosis for transfer</t>
  </si>
  <si>
    <t>Diagnosis</t>
  </si>
  <si>
    <t># Diagnosis</t>
  </si>
  <si>
    <t>% Diagnosis</t>
  </si>
  <si>
    <t xml:space="preserve">Total </t>
  </si>
  <si>
    <t>Primary Contributing factor for transfer</t>
  </si>
  <si>
    <t>Factor</t>
  </si>
  <si>
    <t># Factors</t>
  </si>
  <si>
    <t>% Factors</t>
  </si>
  <si>
    <t>Injury Treatment by Location</t>
  </si>
  <si>
    <t># Location</t>
  </si>
  <si>
    <t>% Location</t>
  </si>
  <si>
    <t>ED visit only</t>
  </si>
  <si>
    <t>Admitted, Inpatient</t>
  </si>
  <si>
    <t>Admitted, observation</t>
  </si>
  <si>
    <t>Admitted, status uncertain</t>
  </si>
  <si>
    <t>Other</t>
  </si>
  <si>
    <t xml:space="preserve">Utilize this page to update drop down boxes for the Master sheet.  Add your physicians, units, diagnosis, etc to match your facilities needs.  </t>
  </si>
  <si>
    <t>Shift</t>
  </si>
  <si>
    <t>Nurse Sending out</t>
  </si>
  <si>
    <t>Time Code</t>
  </si>
  <si>
    <t>Clinician ordering transfer</t>
  </si>
  <si>
    <t>Primary sign/symptom leading to transfer</t>
  </si>
  <si>
    <t>Primary contributing factor for transfer</t>
  </si>
  <si>
    <t>Outcome of transfer</t>
  </si>
  <si>
    <t>Primary DX leading to transfer</t>
  </si>
  <si>
    <t>Sun</t>
  </si>
  <si>
    <t>Nurse Name 1</t>
  </si>
  <si>
    <t xml:space="preserve">Morning </t>
  </si>
  <si>
    <t>Dr Me</t>
  </si>
  <si>
    <t>Abdominal pain</t>
  </si>
  <si>
    <t>Medicare</t>
  </si>
  <si>
    <t>Advanced care plan not in place</t>
  </si>
  <si>
    <t>Acute Renal failure</t>
  </si>
  <si>
    <t>Mon</t>
  </si>
  <si>
    <t>Nurse Name2</t>
  </si>
  <si>
    <t>Afternoon</t>
  </si>
  <si>
    <t>Dr You</t>
  </si>
  <si>
    <t>Abnormal lab or test</t>
  </si>
  <si>
    <t>Medicaid</t>
  </si>
  <si>
    <t>Practitioner unable to provide face to face assessment</t>
  </si>
  <si>
    <t>Anemia</t>
  </si>
  <si>
    <t>Tues</t>
  </si>
  <si>
    <t>Evening</t>
  </si>
  <si>
    <t>Dr A</t>
  </si>
  <si>
    <t>Abnormal vital signs</t>
  </si>
  <si>
    <t>Private</t>
  </si>
  <si>
    <t>Supplies/Resources</t>
  </si>
  <si>
    <t>C. Difficile</t>
  </si>
  <si>
    <t>Wed</t>
  </si>
  <si>
    <t>Night</t>
  </si>
  <si>
    <t>Dr B</t>
  </si>
  <si>
    <t>Altered mental status</t>
  </si>
  <si>
    <t>Managed Care</t>
  </si>
  <si>
    <t>Medication management</t>
  </si>
  <si>
    <t>Cardiac arrest</t>
  </si>
  <si>
    <t>Thur</t>
  </si>
  <si>
    <t>Dr C</t>
  </si>
  <si>
    <t>Behavioral symptoms</t>
  </si>
  <si>
    <t>Equipment not available</t>
  </si>
  <si>
    <t>Cellulitis</t>
  </si>
  <si>
    <t>Fri</t>
  </si>
  <si>
    <t>Bleeding, other than GI</t>
  </si>
  <si>
    <t>Problems with nursing staff resources</t>
  </si>
  <si>
    <t>CHF</t>
  </si>
  <si>
    <t>Sat</t>
  </si>
  <si>
    <t>Blood sugar (high/low)</t>
  </si>
  <si>
    <t>Lack of diagnostic services</t>
  </si>
  <si>
    <t>COPD/Asthma</t>
  </si>
  <si>
    <t>Chest pain</t>
  </si>
  <si>
    <t>Resident preference</t>
  </si>
  <si>
    <t>Dehydration</t>
  </si>
  <si>
    <t>Constipation</t>
  </si>
  <si>
    <t>Family preference</t>
  </si>
  <si>
    <t>DVT (deep vein thrombosis)</t>
  </si>
  <si>
    <t>Diarrhea</t>
  </si>
  <si>
    <t>Clinician insisted</t>
  </si>
  <si>
    <t>Failure to thrive</t>
  </si>
  <si>
    <t>Edema (new or worsening)</t>
  </si>
  <si>
    <t>Health plan request</t>
  </si>
  <si>
    <t>Fracture</t>
  </si>
  <si>
    <t>EKG abnormality</t>
  </si>
  <si>
    <t>Gastroenteritis</t>
  </si>
  <si>
    <t>Fall (s)</t>
  </si>
  <si>
    <t>Gastrostomy tube blocked/displaced</t>
  </si>
  <si>
    <t>Fever</t>
  </si>
  <si>
    <t>Hypertension</t>
  </si>
  <si>
    <t>Functional decline</t>
  </si>
  <si>
    <t>Hypotension</t>
  </si>
  <si>
    <t>GI bleeding</t>
  </si>
  <si>
    <t>Pneumonia/bronchitis</t>
  </si>
  <si>
    <t>Loss of consciousness</t>
  </si>
  <si>
    <t>Respiratory arrest</t>
  </si>
  <si>
    <t>Nausea/vomitting</t>
  </si>
  <si>
    <t>Respiratory infection</t>
  </si>
  <si>
    <t>Nutrition (inadequate intake food/fluid)</t>
  </si>
  <si>
    <t>Seizure</t>
  </si>
  <si>
    <t>Pain (uncontrolled)</t>
  </si>
  <si>
    <t>Sepsis</t>
  </si>
  <si>
    <t>Shortness of breath</t>
  </si>
  <si>
    <t>Stroke/CVA/TIA</t>
  </si>
  <si>
    <t>Skin wound or ulcer</t>
  </si>
  <si>
    <t>UTI</t>
  </si>
  <si>
    <t>Trauma (fall related or other)</t>
  </si>
  <si>
    <t>Other, not listed</t>
  </si>
  <si>
    <t>Unresponsive</t>
  </si>
  <si>
    <t>Unknown</t>
  </si>
  <si>
    <t>North</t>
  </si>
  <si>
    <t>South</t>
  </si>
  <si>
    <t>Resident not matched to our capabilities</t>
  </si>
  <si>
    <r>
      <rPr>
        <b/>
        <sz val="11"/>
        <color theme="1"/>
        <rFont val="Calibri"/>
        <family val="2"/>
        <scheme val="minor"/>
      </rPr>
      <t>Readmissions Data Sheet Master:</t>
    </r>
    <r>
      <rPr>
        <sz val="11"/>
        <color theme="1"/>
        <rFont val="Calibri"/>
        <family val="2"/>
        <scheme val="minor"/>
      </rPr>
      <t xml:space="preserve">  Fill in each unplanned discharge, will auto populate data to the Graphs tab.</t>
    </r>
  </si>
  <si>
    <r>
      <rPr>
        <b/>
        <sz val="11"/>
        <color theme="1"/>
        <rFont val="Calibri"/>
        <family val="2"/>
        <scheme val="minor"/>
      </rPr>
      <t>Graphs tab:</t>
    </r>
    <r>
      <rPr>
        <sz val="11"/>
        <color theme="1"/>
        <rFont val="Calibri"/>
        <family val="2"/>
        <scheme val="minor"/>
      </rPr>
      <t xml:space="preserve">  Graphs tab will automatically populate data from Readmissions Data Sheet Masterline items</t>
    </r>
  </si>
  <si>
    <r>
      <rPr>
        <b/>
        <sz val="11"/>
        <color theme="1"/>
        <rFont val="Calibri"/>
        <family val="2"/>
        <scheme val="minor"/>
      </rPr>
      <t>Drop Down Lists:</t>
    </r>
    <r>
      <rPr>
        <sz val="11"/>
        <color theme="1"/>
        <rFont val="Calibri"/>
        <family val="2"/>
        <scheme val="minor"/>
      </rPr>
      <t xml:space="preserve">  Lists can be changed by going to the Resources tab</t>
    </r>
  </si>
  <si>
    <t>This material was prepared by Alliant Health Solutions, a Quality Innovation Network – Quality Improvement Organization (QIN – 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Publication No. 12SOW-AHS-QIN-QIO-TO1-NH-4301-08/16/23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</si>
</sst>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8"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20"/>
      <color theme="1"/>
      <name val="Calibri"/>
      <family val="2"/>
      <scheme val="minor"/>
    </font>
    <font>
      <sz val="12"/>
      <color theme="1"/>
      <name val="Calibri"/>
      <family val="2"/>
      <scheme val="minor"/>
    </font>
    <font>
      <b/>
      <sz val="11"/>
      <color theme="1"/>
      <name val="Calibri"/>
      <family val="2"/>
      <scheme val="minor"/>
    </font>
    <font>
      <b/>
      <sz val="20"/>
      <color rgb="FF000000"/>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applyAlignment="1">
      <alignment horizontal="center" wrapText="1"/>
    </xf>
    <xf numFmtId="0" fontId="0" fillId="0" borderId="0" xfId="0"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xf>
    <xf numFmtId="0" fontId="0" fillId="0" borderId="1" xfId="0" applyBorder="1" applyAlignment="1">
      <alignment horizontal="center"/>
    </xf>
    <xf numFmtId="0" fontId="0" fillId="0" borderId="1" xfId="0" applyBorder="1"/>
    <xf numFmtId="9" fontId="0" fillId="0" borderId="1" xfId="1" applyFont="1" applyBorder="1"/>
    <xf numFmtId="9" fontId="0" fillId="0" borderId="1" xfId="1" applyFont="1" applyBorder="1" applyAlignment="1">
      <alignment horizontal="center"/>
    </xf>
    <xf numFmtId="9" fontId="0" fillId="2" borderId="1" xfId="0" applyNumberFormat="1" applyFill="1" applyBorder="1" applyAlignment="1">
      <alignment horizontal="center"/>
    </xf>
    <xf numFmtId="9" fontId="0" fillId="2" borderId="1" xfId="1"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4" borderId="1" xfId="0" applyFill="1" applyBorder="1"/>
    <xf numFmtId="9" fontId="0" fillId="4" borderId="1" xfId="0" applyNumberFormat="1" applyFill="1" applyBorder="1"/>
    <xf numFmtId="0" fontId="0" fillId="5" borderId="1" xfId="0" applyFill="1" applyBorder="1" applyAlignment="1">
      <alignment horizontal="center"/>
    </xf>
    <xf numFmtId="0" fontId="0" fillId="5" borderId="1" xfId="0" applyFill="1" applyBorder="1"/>
    <xf numFmtId="9" fontId="0" fillId="5" borderId="1" xfId="0" applyNumberFormat="1" applyFill="1" applyBorder="1"/>
    <xf numFmtId="0" fontId="0" fillId="0" borderId="1" xfId="0" applyBorder="1" applyAlignment="1">
      <alignment horizontal="center" wrapText="1"/>
    </xf>
    <xf numFmtId="0" fontId="0" fillId="5" borderId="1" xfId="0" applyFill="1" applyBorder="1" applyAlignment="1">
      <alignment horizontal="center" wrapText="1"/>
    </xf>
    <xf numFmtId="0" fontId="0" fillId="0" borderId="1" xfId="0" applyBorder="1" applyAlignment="1">
      <alignment wrapText="1"/>
    </xf>
    <xf numFmtId="0" fontId="0" fillId="5" borderId="1" xfId="0" applyFill="1" applyBorder="1" applyAlignment="1">
      <alignment wrapText="1"/>
    </xf>
    <xf numFmtId="9" fontId="0" fillId="5" borderId="1" xfId="0" applyNumberFormat="1" applyFill="1" applyBorder="1" applyAlignment="1">
      <alignment horizontal="center"/>
    </xf>
    <xf numFmtId="0" fontId="3" fillId="4" borderId="1" xfId="0" applyFont="1" applyFill="1" applyBorder="1" applyAlignment="1">
      <alignment horizontal="center" wrapText="1"/>
    </xf>
    <xf numFmtId="0" fontId="2" fillId="4" borderId="1" xfId="0" applyFont="1" applyFill="1" applyBorder="1" applyAlignment="1">
      <alignment horizontal="center" wrapText="1"/>
    </xf>
    <xf numFmtId="18" fontId="0" fillId="0" borderId="0" xfId="0" applyNumberFormat="1"/>
    <xf numFmtId="164" fontId="0" fillId="0" borderId="1" xfId="0" applyNumberFormat="1" applyBorder="1" applyAlignment="1">
      <alignment horizontal="center"/>
    </xf>
    <xf numFmtId="9" fontId="0" fillId="0" borderId="0" xfId="1" applyFont="1"/>
    <xf numFmtId="0" fontId="3" fillId="0" borderId="0" xfId="0" applyFont="1" applyAlignment="1">
      <alignment horizontal="center" wrapText="1"/>
    </xf>
    <xf numFmtId="2" fontId="0" fillId="7" borderId="1" xfId="1" applyNumberFormat="1" applyFont="1" applyFill="1" applyBorder="1"/>
    <xf numFmtId="0" fontId="5" fillId="0" borderId="1" xfId="0" applyFont="1" applyBorder="1" applyAlignment="1">
      <alignment horizontal="center"/>
    </xf>
    <xf numFmtId="14" fontId="5" fillId="0" borderId="1" xfId="0" applyNumberFormat="1" applyFont="1" applyBorder="1" applyAlignment="1">
      <alignment horizontal="center"/>
    </xf>
    <xf numFmtId="0" fontId="6" fillId="0" borderId="0" xfId="0" applyFont="1" applyAlignment="1">
      <alignment horizontal="center" wrapText="1"/>
    </xf>
    <xf numFmtId="0" fontId="0" fillId="8" borderId="1" xfId="0" applyFill="1" applyBorder="1"/>
    <xf numFmtId="9" fontId="0" fillId="8" borderId="1" xfId="0" applyNumberFormat="1" applyFill="1" applyBorder="1"/>
    <xf numFmtId="0" fontId="0" fillId="8" borderId="1" xfId="0" applyFill="1" applyBorder="1" applyAlignment="1">
      <alignment horizontal="center"/>
    </xf>
    <xf numFmtId="0" fontId="0" fillId="9" borderId="0" xfId="0" applyFill="1" applyAlignment="1">
      <alignment horizontal="center"/>
    </xf>
    <xf numFmtId="9" fontId="0" fillId="9" borderId="0" xfId="1" applyFont="1" applyFill="1" applyBorder="1" applyAlignment="1">
      <alignment horizontal="center"/>
    </xf>
    <xf numFmtId="0" fontId="0" fillId="9" borderId="0" xfId="0" applyFill="1" applyAlignment="1">
      <alignment horizontal="center" wrapText="1"/>
    </xf>
    <xf numFmtId="0" fontId="0" fillId="9" borderId="0" xfId="0" applyFill="1"/>
    <xf numFmtId="9" fontId="0" fillId="9" borderId="0" xfId="0" applyNumberFormat="1" applyFill="1"/>
    <xf numFmtId="0" fontId="3" fillId="4" borderId="1" xfId="0" applyFont="1" applyFill="1" applyBorder="1" applyAlignment="1">
      <alignment horizontal="left" wrapText="1"/>
    </xf>
    <xf numFmtId="0" fontId="0" fillId="9" borderId="1" xfId="0" applyFill="1" applyBorder="1"/>
    <xf numFmtId="14" fontId="5" fillId="9" borderId="1" xfId="0" applyNumberFormat="1" applyFont="1" applyFill="1" applyBorder="1" applyAlignment="1">
      <alignment horizontal="center"/>
    </xf>
    <xf numFmtId="0" fontId="0" fillId="9" borderId="1" xfId="0" applyFill="1" applyBorder="1" applyAlignment="1">
      <alignment horizontal="center"/>
    </xf>
    <xf numFmtId="0" fontId="0" fillId="9" borderId="1" xfId="0" applyFill="1" applyBorder="1" applyAlignment="1">
      <alignment horizontal="center" wrapText="1"/>
    </xf>
    <xf numFmtId="164" fontId="0" fillId="9" borderId="1" xfId="0" applyNumberFormat="1" applyFill="1" applyBorder="1" applyAlignment="1">
      <alignment horizontal="center"/>
    </xf>
    <xf numFmtId="0" fontId="4" fillId="6" borderId="0" xfId="0" applyFont="1" applyFill="1" applyAlignment="1">
      <alignment horizontal="center"/>
    </xf>
    <xf numFmtId="0" fontId="0" fillId="5" borderId="1" xfId="0" applyFill="1" applyBorder="1" applyAlignment="1">
      <alignment horizontal="center"/>
    </xf>
    <xf numFmtId="0" fontId="0" fillId="9" borderId="0" xfId="0" applyFill="1" applyAlignment="1">
      <alignment horizontal="center"/>
    </xf>
    <xf numFmtId="0" fontId="0" fillId="5" borderId="0" xfId="0" applyFill="1" applyAlignment="1">
      <alignment horizontal="center"/>
    </xf>
    <xf numFmtId="0" fontId="0" fillId="2" borderId="2" xfId="0" applyFill="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2" borderId="1" xfId="0" applyFill="1" applyBorder="1" applyAlignment="1">
      <alignment horizontal="center"/>
    </xf>
    <xf numFmtId="0" fontId="6" fillId="5" borderId="1" xfId="0" applyFont="1" applyFill="1" applyBorder="1" applyAlignment="1">
      <alignment horizontal="center"/>
    </xf>
    <xf numFmtId="0" fontId="7" fillId="7" borderId="0" xfId="0" applyFont="1" applyFill="1"/>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Hospital Discharges for Month by Day of Week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Graphs!$C$6:$C$7</c:f>
              <c:strCache>
                <c:ptCount val="2"/>
                <c:pt idx="0">
                  <c:v>Hospital Discharges for Month by Day of Week</c:v>
                </c:pt>
                <c:pt idx="1">
                  <c:v>% by Day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Graphs!$A$8:$A$14</c:f>
              <c:strCache>
                <c:ptCount val="7"/>
                <c:pt idx="0">
                  <c:v>Sunday</c:v>
                </c:pt>
                <c:pt idx="1">
                  <c:v>Monday</c:v>
                </c:pt>
                <c:pt idx="2">
                  <c:v>Tuesday</c:v>
                </c:pt>
                <c:pt idx="3">
                  <c:v>Wednesday </c:v>
                </c:pt>
                <c:pt idx="4">
                  <c:v>Thursday</c:v>
                </c:pt>
                <c:pt idx="5">
                  <c:v>Friday</c:v>
                </c:pt>
                <c:pt idx="6">
                  <c:v>Saturday</c:v>
                </c:pt>
              </c:strCache>
            </c:strRef>
          </c:cat>
          <c:val>
            <c:numRef>
              <c:f>Graphs!$C$8:$C$14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21E-499F-97BF-793E571A4C4A}"/>
            </c:ext>
          </c:extLst>
        </c:ser>
        <c:dLbls>
          <c:showLegendKey val="0"/>
          <c:showVal val="0"/>
          <c:showCatName val="0"/>
          <c:showSerName val="0"/>
          <c:showPercent val="0"/>
          <c:showBubbleSize val="0"/>
        </c:dLbls>
        <c:gapWidth val="219"/>
        <c:overlap val="-27"/>
        <c:axId val="606225264"/>
        <c:axId val="606228216"/>
        <c:extLst>
          <c:ext xmlns:c15="http://schemas.microsoft.com/office/drawing/2012/chart" uri="{02D57815-91ED-43cb-92C2-25804820EDAC}">
            <c15:filteredBarSeries>
              <c15:ser>
                <c:idx val="0"/>
                <c:order val="0"/>
                <c:tx>
                  <c:strRef>
                    <c:extLst>
                      <c:ext uri="{02D57815-91ED-43cb-92C2-25804820EDAC}">
                        <c15:formulaRef>
                          <c15:sqref>Graphs!$B$6:$B$7</c15:sqref>
                        </c15:formulaRef>
                      </c:ext>
                    </c:extLst>
                    <c:strCache>
                      <c:ptCount val="2"/>
                      <c:pt idx="0">
                        <c:v>Hospital Discharges for Month by Day of Week</c:v>
                      </c:pt>
                      <c:pt idx="1">
                        <c:v># by Day</c:v>
                      </c:pt>
                    </c:strCache>
                  </c:strRef>
                </c:tx>
                <c:spPr>
                  <a:solidFill>
                    <a:schemeClr val="accent1"/>
                  </a:solidFill>
                  <a:ln>
                    <a:noFill/>
                  </a:ln>
                  <a:effectLst/>
                </c:spPr>
                <c:invertIfNegative val="0"/>
                <c:cat>
                  <c:strRef>
                    <c:extLst>
                      <c:ext uri="{02D57815-91ED-43cb-92C2-25804820EDAC}">
                        <c15:formulaRef>
                          <c15:sqref>Graphs!$A$8:$A$14</c15:sqref>
                        </c15:formulaRef>
                      </c:ext>
                    </c:extLst>
                    <c:strCache>
                      <c:ptCount val="7"/>
                      <c:pt idx="0">
                        <c:v>Sunday</c:v>
                      </c:pt>
                      <c:pt idx="1">
                        <c:v>Monday</c:v>
                      </c:pt>
                      <c:pt idx="2">
                        <c:v>Tuesday</c:v>
                      </c:pt>
                      <c:pt idx="3">
                        <c:v>Wednesday </c:v>
                      </c:pt>
                      <c:pt idx="4">
                        <c:v>Thursday</c:v>
                      </c:pt>
                      <c:pt idx="5">
                        <c:v>Friday</c:v>
                      </c:pt>
                      <c:pt idx="6">
                        <c:v>Saturday</c:v>
                      </c:pt>
                    </c:strCache>
                  </c:strRef>
                </c:cat>
                <c:val>
                  <c:numRef>
                    <c:extLst>
                      <c:ext uri="{02D57815-91ED-43cb-92C2-25804820EDAC}">
                        <c15:formulaRef>
                          <c15:sqref>Graphs!$B$8:$B$14</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1E-499F-97BF-793E571A4C4A}"/>
                  </c:ext>
                </c:extLst>
              </c15:ser>
            </c15:filteredBarSeries>
          </c:ext>
        </c:extLst>
      </c:barChart>
      <c:catAx>
        <c:axId val="60622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228216"/>
        <c:crosses val="autoZero"/>
        <c:auto val="1"/>
        <c:lblAlgn val="ctr"/>
        <c:lblOffset val="100"/>
        <c:noMultiLvlLbl val="0"/>
      </c:catAx>
      <c:valAx>
        <c:axId val="606228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225264"/>
        <c:crosses val="autoZero"/>
        <c:crossBetween val="between"/>
      </c:valAx>
      <c:spPr>
        <a:noFill/>
        <a:ln w="381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Hospital Discharges for Month by Shift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Graphs!$C$17:$C$18</c:f>
              <c:strCache>
                <c:ptCount val="2"/>
                <c:pt idx="0">
                  <c:v>Hospital Discharges for Month by Shift</c:v>
                </c:pt>
                <c:pt idx="1">
                  <c:v>% by shift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Graphs!$A$19:$A$22</c15:sqref>
                  </c15:fullRef>
                </c:ext>
              </c:extLst>
              <c:f>Graphs!$A$19:$A$21</c:f>
              <c:strCache>
                <c:ptCount val="3"/>
                <c:pt idx="0">
                  <c:v>1st</c:v>
                </c:pt>
                <c:pt idx="1">
                  <c:v>2nd</c:v>
                </c:pt>
                <c:pt idx="2">
                  <c:v>3rd</c:v>
                </c:pt>
              </c:strCache>
            </c:strRef>
          </c:cat>
          <c:val>
            <c:numRef>
              <c:extLst>
                <c:ext xmlns:c15="http://schemas.microsoft.com/office/drawing/2012/chart" uri="{02D57815-91ED-43cb-92C2-25804820EDAC}">
                  <c15:fullRef>
                    <c15:sqref>Graphs!$C$19:$C$22</c15:sqref>
                  </c15:fullRef>
                </c:ext>
              </c:extLst>
              <c:f>Graphs!$C$19:$C$21</c:f>
              <c:numCache>
                <c:formatCode>0%</c:formatCode>
                <c:ptCount val="3"/>
                <c:pt idx="0">
                  <c:v>0</c:v>
                </c:pt>
                <c:pt idx="1">
                  <c:v>0</c:v>
                </c:pt>
                <c:pt idx="2">
                  <c:v>0</c:v>
                </c:pt>
              </c:numCache>
            </c:numRef>
          </c:val>
          <c:extLst>
            <c:ext xmlns:c16="http://schemas.microsoft.com/office/drawing/2014/chart" uri="{C3380CC4-5D6E-409C-BE32-E72D297353CC}">
              <c16:uniqueId val="{00000001-3423-4278-9562-C40274CB2377}"/>
            </c:ext>
          </c:extLst>
        </c:ser>
        <c:dLbls>
          <c:showLegendKey val="0"/>
          <c:showVal val="0"/>
          <c:showCatName val="0"/>
          <c:showSerName val="0"/>
          <c:showPercent val="0"/>
          <c:showBubbleSize val="0"/>
        </c:dLbls>
        <c:gapWidth val="100"/>
        <c:overlap val="-24"/>
        <c:axId val="102902608"/>
        <c:axId val="102906872"/>
        <c:extLst>
          <c:ext xmlns:c15="http://schemas.microsoft.com/office/drawing/2012/chart" uri="{02D57815-91ED-43cb-92C2-25804820EDAC}">
            <c15:filteredBarSeries>
              <c15:ser>
                <c:idx val="0"/>
                <c:order val="0"/>
                <c:tx>
                  <c:strRef>
                    <c:extLst>
                      <c:ext uri="{02D57815-91ED-43cb-92C2-25804820EDAC}">
                        <c15:formulaRef>
                          <c15:sqref>Graphs!$B$17:$B$18</c15:sqref>
                        </c15:formulaRef>
                      </c:ext>
                    </c:extLst>
                    <c:strCache>
                      <c:ptCount val="2"/>
                      <c:pt idx="0">
                        <c:v>Hospital Discharges for Month by Shift</c:v>
                      </c:pt>
                      <c:pt idx="1">
                        <c:v># by shift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ullRef>
                          <c15:sqref>Graphs!$A$19:$A$22</c15:sqref>
                        </c15:fullRef>
                        <c15:formulaRef>
                          <c15:sqref>Graphs!$A$19:$A$21</c15:sqref>
                        </c15:formulaRef>
                      </c:ext>
                    </c:extLst>
                    <c:strCache>
                      <c:ptCount val="3"/>
                      <c:pt idx="0">
                        <c:v>1st</c:v>
                      </c:pt>
                      <c:pt idx="1">
                        <c:v>2nd</c:v>
                      </c:pt>
                      <c:pt idx="2">
                        <c:v>3rd</c:v>
                      </c:pt>
                    </c:strCache>
                  </c:strRef>
                </c:cat>
                <c:val>
                  <c:numRef>
                    <c:extLst>
                      <c:ext uri="{02D57815-91ED-43cb-92C2-25804820EDAC}">
                        <c15:fullRef>
                          <c15:sqref>Graphs!$B$19:$B$22</c15:sqref>
                        </c15:fullRef>
                        <c15:formulaRef>
                          <c15:sqref>Graphs!$B$19:$B$21</c15:sqref>
                        </c15:formulaRef>
                      </c:ext>
                    </c:extLst>
                    <c:numCache>
                      <c:formatCode>General</c:formatCode>
                      <c:ptCount val="3"/>
                      <c:pt idx="0">
                        <c:v>0</c:v>
                      </c:pt>
                      <c:pt idx="1">
                        <c:v>0</c:v>
                      </c:pt>
                      <c:pt idx="2">
                        <c:v>0</c:v>
                      </c:pt>
                    </c:numCache>
                  </c:numRef>
                </c:val>
                <c:extLst>
                  <c:ext xmlns:c16="http://schemas.microsoft.com/office/drawing/2014/chart" uri="{C3380CC4-5D6E-409C-BE32-E72D297353CC}">
                    <c16:uniqueId val="{00000000-3423-4278-9562-C40274CB2377}"/>
                  </c:ext>
                </c:extLst>
              </c15:ser>
            </c15:filteredBarSeries>
          </c:ext>
        </c:extLst>
      </c:barChart>
      <c:catAx>
        <c:axId val="1029026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06872"/>
        <c:crosses val="autoZero"/>
        <c:auto val="1"/>
        <c:lblAlgn val="ctr"/>
        <c:lblOffset val="100"/>
        <c:noMultiLvlLbl val="0"/>
      </c:catAx>
      <c:valAx>
        <c:axId val="102906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02608"/>
        <c:crosses val="autoZero"/>
        <c:crossBetween val="between"/>
      </c:valAx>
      <c:spPr>
        <a:noFill/>
        <a:ln w="381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Time of Transfer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Graphs!$C$26:$C$27</c:f>
              <c:strCache>
                <c:ptCount val="2"/>
                <c:pt idx="0">
                  <c:v>Time of transfer Statistical Summary </c:v>
                </c:pt>
                <c:pt idx="1">
                  <c:v>% of Total</c:v>
                </c:pt>
              </c:strCache>
            </c:strRef>
          </c:tx>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A985-4313-807A-87BABB2C3C62}"/>
              </c:ext>
            </c:extLst>
          </c:dPt>
          <c:dPt>
            <c:idx val="1"/>
            <c:invertIfNegative val="0"/>
            <c:bubble3D val="0"/>
            <c:spPr>
              <a:solidFill>
                <a:srgbClr val="00B0F0"/>
              </a:solidFill>
              <a:ln>
                <a:noFill/>
              </a:ln>
              <a:effectLst/>
            </c:spPr>
            <c:extLst>
              <c:ext xmlns:c16="http://schemas.microsoft.com/office/drawing/2014/chart" uri="{C3380CC4-5D6E-409C-BE32-E72D297353CC}">
                <c16:uniqueId val="{00000004-A985-4313-807A-87BABB2C3C62}"/>
              </c:ext>
            </c:extLst>
          </c:dPt>
          <c:dPt>
            <c:idx val="2"/>
            <c:invertIfNegative val="0"/>
            <c:bubble3D val="0"/>
            <c:spPr>
              <a:solidFill>
                <a:srgbClr val="00B0F0"/>
              </a:solidFill>
              <a:ln>
                <a:noFill/>
              </a:ln>
              <a:effectLst/>
            </c:spPr>
            <c:extLst>
              <c:ext xmlns:c16="http://schemas.microsoft.com/office/drawing/2014/chart" uri="{C3380CC4-5D6E-409C-BE32-E72D297353CC}">
                <c16:uniqueId val="{00000005-A985-4313-807A-87BABB2C3C62}"/>
              </c:ext>
            </c:extLst>
          </c:dPt>
          <c:dPt>
            <c:idx val="3"/>
            <c:invertIfNegative val="0"/>
            <c:bubble3D val="0"/>
            <c:spPr>
              <a:solidFill>
                <a:srgbClr val="00B0F0"/>
              </a:solidFill>
              <a:ln>
                <a:noFill/>
              </a:ln>
              <a:effectLst/>
            </c:spPr>
            <c:extLst>
              <c:ext xmlns:c16="http://schemas.microsoft.com/office/drawing/2014/chart" uri="{C3380CC4-5D6E-409C-BE32-E72D297353CC}">
                <c16:uniqueId val="{00000006-A985-4313-807A-87BABB2C3C6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Graphs!$A$28:$A$31</c:f>
              <c:strCache>
                <c:ptCount val="4"/>
                <c:pt idx="0">
                  <c:v>Morning: 7 AM- Noon</c:v>
                </c:pt>
                <c:pt idx="1">
                  <c:v>Afternoon: Noon- 7 PM</c:v>
                </c:pt>
                <c:pt idx="2">
                  <c:v>Evening: 7 PM- Midnight</c:v>
                </c:pt>
                <c:pt idx="3">
                  <c:v>Night: Midnight- 7 AM</c:v>
                </c:pt>
              </c:strCache>
            </c:strRef>
          </c:cat>
          <c:val>
            <c:numRef>
              <c:f>Graphs!$C$28:$C$31</c:f>
              <c:numCache>
                <c:formatCode>0%</c:formatCode>
                <c:ptCount val="4"/>
                <c:pt idx="0">
                  <c:v>0</c:v>
                </c:pt>
                <c:pt idx="1">
                  <c:v>0</c:v>
                </c:pt>
                <c:pt idx="2">
                  <c:v>0</c:v>
                </c:pt>
                <c:pt idx="3">
                  <c:v>0</c:v>
                </c:pt>
              </c:numCache>
            </c:numRef>
          </c:val>
          <c:extLst>
            <c:ext xmlns:c16="http://schemas.microsoft.com/office/drawing/2014/chart" uri="{C3380CC4-5D6E-409C-BE32-E72D297353CC}">
              <c16:uniqueId val="{00000001-A985-4313-807A-87BABB2C3C62}"/>
            </c:ext>
          </c:extLst>
        </c:ser>
        <c:dLbls>
          <c:showLegendKey val="0"/>
          <c:showVal val="0"/>
          <c:showCatName val="0"/>
          <c:showSerName val="0"/>
          <c:showPercent val="0"/>
          <c:showBubbleSize val="0"/>
        </c:dLbls>
        <c:gapWidth val="219"/>
        <c:overlap val="-27"/>
        <c:axId val="686792600"/>
        <c:axId val="686795224"/>
        <c:extLst>
          <c:ext xmlns:c15="http://schemas.microsoft.com/office/drawing/2012/chart" uri="{02D57815-91ED-43cb-92C2-25804820EDAC}">
            <c15:filteredBarSeries>
              <c15:ser>
                <c:idx val="0"/>
                <c:order val="0"/>
                <c:tx>
                  <c:strRef>
                    <c:extLst>
                      <c:ext uri="{02D57815-91ED-43cb-92C2-25804820EDAC}">
                        <c15:formulaRef>
                          <c15:sqref>Graphs!$B$26:$B$27</c15:sqref>
                        </c15:formulaRef>
                      </c:ext>
                    </c:extLst>
                    <c:strCache>
                      <c:ptCount val="2"/>
                      <c:pt idx="0">
                        <c:v>Time of transfer Statistical Summary </c:v>
                      </c:pt>
                      <c:pt idx="1">
                        <c:v>#</c:v>
                      </c:pt>
                    </c:strCache>
                  </c:strRef>
                </c:tx>
                <c:spPr>
                  <a:solidFill>
                    <a:schemeClr val="accent1"/>
                  </a:solidFill>
                  <a:ln>
                    <a:noFill/>
                  </a:ln>
                  <a:effectLst/>
                </c:spPr>
                <c:invertIfNegative val="0"/>
                <c:cat>
                  <c:strRef>
                    <c:extLst>
                      <c:ext uri="{02D57815-91ED-43cb-92C2-25804820EDAC}">
                        <c15:formulaRef>
                          <c15:sqref>Graphs!$A$28:$A$31</c15:sqref>
                        </c15:formulaRef>
                      </c:ext>
                    </c:extLst>
                    <c:strCache>
                      <c:ptCount val="4"/>
                      <c:pt idx="0">
                        <c:v>Morning: 7 AM- Noon</c:v>
                      </c:pt>
                      <c:pt idx="1">
                        <c:v>Afternoon: Noon- 7 PM</c:v>
                      </c:pt>
                      <c:pt idx="2">
                        <c:v>Evening: 7 PM- Midnight</c:v>
                      </c:pt>
                      <c:pt idx="3">
                        <c:v>Night: Midnight- 7 AM</c:v>
                      </c:pt>
                    </c:strCache>
                  </c:strRef>
                </c:cat>
                <c:val>
                  <c:numRef>
                    <c:extLst>
                      <c:ext uri="{02D57815-91ED-43cb-92C2-25804820EDAC}">
                        <c15:formulaRef>
                          <c15:sqref>Graphs!$B$28:$B$31</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985-4313-807A-87BABB2C3C62}"/>
                  </c:ext>
                </c:extLst>
              </c15:ser>
            </c15:filteredBarSeries>
          </c:ext>
        </c:extLst>
      </c:barChart>
      <c:catAx>
        <c:axId val="68679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2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795224"/>
        <c:crosses val="autoZero"/>
        <c:auto val="1"/>
        <c:lblAlgn val="ctr"/>
        <c:lblOffset val="100"/>
        <c:noMultiLvlLbl val="0"/>
      </c:catAx>
      <c:valAx>
        <c:axId val="686795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792600"/>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rot="-1800000"/>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Primary Sign/Symptom leading to transfer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650926709720438E-2"/>
          <c:y val="0.11378876670588592"/>
          <c:w val="0.91044629500133145"/>
          <c:h val="0.60324690017196125"/>
        </c:manualLayout>
      </c:layout>
      <c:barChart>
        <c:barDir val="col"/>
        <c:grouping val="clustered"/>
        <c:varyColors val="0"/>
        <c:ser>
          <c:idx val="1"/>
          <c:order val="1"/>
          <c:tx>
            <c:strRef>
              <c:f>Graphs!$C$39:$C$40</c:f>
              <c:strCache>
                <c:ptCount val="2"/>
                <c:pt idx="0">
                  <c:v>Primary sign/symptom leading ot transfer</c:v>
                </c:pt>
                <c:pt idx="1">
                  <c:v>% Symptoms</c:v>
                </c:pt>
              </c:strCache>
            </c:strRef>
          </c:tx>
          <c:spPr>
            <a:solidFill>
              <a:schemeClr val="accent1"/>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Graphs!$A$41:$A$67</c:f>
              <c:strCache>
                <c:ptCount val="27"/>
                <c:pt idx="0">
                  <c:v>Abdominal pain</c:v>
                </c:pt>
                <c:pt idx="1">
                  <c:v>Abnormal lab or test</c:v>
                </c:pt>
                <c:pt idx="2">
                  <c:v>Abnormal vital signs</c:v>
                </c:pt>
                <c:pt idx="3">
                  <c:v>Altered mental status</c:v>
                </c:pt>
                <c:pt idx="4">
                  <c:v>Behavioral symptoms</c:v>
                </c:pt>
                <c:pt idx="5">
                  <c:v>Bleeding, other than GI</c:v>
                </c:pt>
                <c:pt idx="6">
                  <c:v>Blood sugar (high/low)</c:v>
                </c:pt>
                <c:pt idx="7">
                  <c:v>Chest pain</c:v>
                </c:pt>
                <c:pt idx="8">
                  <c:v>Constipation</c:v>
                </c:pt>
                <c:pt idx="9">
                  <c:v>Diarrhea</c:v>
                </c:pt>
                <c:pt idx="10">
                  <c:v>Edema (new or worsening)</c:v>
                </c:pt>
                <c:pt idx="11">
                  <c:v>EKG abnormality</c:v>
                </c:pt>
                <c:pt idx="12">
                  <c:v>Fall (s)</c:v>
                </c:pt>
                <c:pt idx="13">
                  <c:v>Fever</c:v>
                </c:pt>
                <c:pt idx="14">
                  <c:v>Functional decline</c:v>
                </c:pt>
                <c:pt idx="15">
                  <c:v>GI bleeding</c:v>
                </c:pt>
                <c:pt idx="16">
                  <c:v>Loss of consciousness</c:v>
                </c:pt>
                <c:pt idx="17">
                  <c:v>Nausea/vomitting</c:v>
                </c:pt>
                <c:pt idx="18">
                  <c:v>Nutrition (inadequate intake food/fluid)</c:v>
                </c:pt>
                <c:pt idx="19">
                  <c:v>Pain (uncontrolled)</c:v>
                </c:pt>
                <c:pt idx="20">
                  <c:v>Shortness of breath</c:v>
                </c:pt>
                <c:pt idx="21">
                  <c:v>Skin wound or ulcer</c:v>
                </c:pt>
                <c:pt idx="22">
                  <c:v>Trauma (fall related or other)</c:v>
                </c:pt>
                <c:pt idx="23">
                  <c:v>Unresponsive</c:v>
                </c:pt>
                <c:pt idx="24">
                  <c:v>Urinary incontinence</c:v>
                </c:pt>
                <c:pt idx="25">
                  <c:v>Weight loss</c:v>
                </c:pt>
                <c:pt idx="26">
                  <c:v>Other sign/symptom</c:v>
                </c:pt>
              </c:strCache>
            </c:strRef>
          </c:cat>
          <c:val>
            <c:numRef>
              <c:f>Graphs!$C$41:$C$67</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EA73-4AD9-B1B0-5F93CA360755}"/>
            </c:ext>
          </c:extLst>
        </c:ser>
        <c:dLbls>
          <c:showLegendKey val="0"/>
          <c:showVal val="0"/>
          <c:showCatName val="0"/>
          <c:showSerName val="0"/>
          <c:showPercent val="0"/>
          <c:showBubbleSize val="0"/>
        </c:dLbls>
        <c:gapWidth val="100"/>
        <c:overlap val="-24"/>
        <c:axId val="573114112"/>
        <c:axId val="573121000"/>
        <c:extLst>
          <c:ext xmlns:c15="http://schemas.microsoft.com/office/drawing/2012/chart" uri="{02D57815-91ED-43cb-92C2-25804820EDAC}">
            <c15:filteredBarSeries>
              <c15:ser>
                <c:idx val="0"/>
                <c:order val="0"/>
                <c:tx>
                  <c:strRef>
                    <c:extLst>
                      <c:ext uri="{02D57815-91ED-43cb-92C2-25804820EDAC}">
                        <c15:formulaRef>
                          <c15:sqref>Graphs!$B$39:$B$40</c15:sqref>
                        </c15:formulaRef>
                      </c:ext>
                    </c:extLst>
                    <c:strCache>
                      <c:ptCount val="2"/>
                      <c:pt idx="0">
                        <c:v>Primary sign/symptom leading ot transfer</c:v>
                      </c:pt>
                      <c:pt idx="1">
                        <c:v># Symptom</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ormulaRef>
                          <c15:sqref>Graphs!$A$41:$A$67</c15:sqref>
                        </c15:formulaRef>
                      </c:ext>
                    </c:extLst>
                    <c:strCache>
                      <c:ptCount val="27"/>
                      <c:pt idx="0">
                        <c:v>Abdominal pain</c:v>
                      </c:pt>
                      <c:pt idx="1">
                        <c:v>Abnormal lab or test</c:v>
                      </c:pt>
                      <c:pt idx="2">
                        <c:v>Abnormal vital signs</c:v>
                      </c:pt>
                      <c:pt idx="3">
                        <c:v>Altered mental status</c:v>
                      </c:pt>
                      <c:pt idx="4">
                        <c:v>Behavioral symptoms</c:v>
                      </c:pt>
                      <c:pt idx="5">
                        <c:v>Bleeding, other than GI</c:v>
                      </c:pt>
                      <c:pt idx="6">
                        <c:v>Blood sugar (high/low)</c:v>
                      </c:pt>
                      <c:pt idx="7">
                        <c:v>Chest pain</c:v>
                      </c:pt>
                      <c:pt idx="8">
                        <c:v>Constipation</c:v>
                      </c:pt>
                      <c:pt idx="9">
                        <c:v>Diarrhea</c:v>
                      </c:pt>
                      <c:pt idx="10">
                        <c:v>Edema (new or worsening)</c:v>
                      </c:pt>
                      <c:pt idx="11">
                        <c:v>EKG abnormality</c:v>
                      </c:pt>
                      <c:pt idx="12">
                        <c:v>Fall (s)</c:v>
                      </c:pt>
                      <c:pt idx="13">
                        <c:v>Fever</c:v>
                      </c:pt>
                      <c:pt idx="14">
                        <c:v>Functional decline</c:v>
                      </c:pt>
                      <c:pt idx="15">
                        <c:v>GI bleeding</c:v>
                      </c:pt>
                      <c:pt idx="16">
                        <c:v>Loss of consciousness</c:v>
                      </c:pt>
                      <c:pt idx="17">
                        <c:v>Nausea/vomitting</c:v>
                      </c:pt>
                      <c:pt idx="18">
                        <c:v>Nutrition (inadequate intake food/fluid)</c:v>
                      </c:pt>
                      <c:pt idx="19">
                        <c:v>Pain (uncontrolled)</c:v>
                      </c:pt>
                      <c:pt idx="20">
                        <c:v>Shortness of breath</c:v>
                      </c:pt>
                      <c:pt idx="21">
                        <c:v>Skin wound or ulcer</c:v>
                      </c:pt>
                      <c:pt idx="22">
                        <c:v>Trauma (fall related or other)</c:v>
                      </c:pt>
                      <c:pt idx="23">
                        <c:v>Unresponsive</c:v>
                      </c:pt>
                      <c:pt idx="24">
                        <c:v>Urinary incontinence</c:v>
                      </c:pt>
                      <c:pt idx="25">
                        <c:v>Weight loss</c:v>
                      </c:pt>
                      <c:pt idx="26">
                        <c:v>Other sign/symptom</c:v>
                      </c:pt>
                    </c:strCache>
                  </c:strRef>
                </c:cat>
                <c:val>
                  <c:numRef>
                    <c:extLst>
                      <c:ext uri="{02D57815-91ED-43cb-92C2-25804820EDAC}">
                        <c15:formulaRef>
                          <c15:sqref>Graphs!$B$41:$B$67</c15:sqref>
                        </c15:formulaRef>
                      </c:ext>
                    </c:extLst>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EA73-4AD9-B1B0-5F93CA360755}"/>
                  </c:ext>
                </c:extLst>
              </c15:ser>
            </c15:filteredBarSeries>
          </c:ext>
        </c:extLst>
      </c:barChart>
      <c:catAx>
        <c:axId val="573114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21000"/>
        <c:crosses val="autoZero"/>
        <c:auto val="1"/>
        <c:lblAlgn val="ctr"/>
        <c:lblOffset val="100"/>
        <c:noMultiLvlLbl val="0"/>
      </c:catAx>
      <c:valAx>
        <c:axId val="573121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14112"/>
        <c:crosses val="autoZero"/>
        <c:crossBetween val="between"/>
        <c:majorUnit val="0.2"/>
        <c:minorUnit val="2.0000000000000004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Primary</a:t>
            </a:r>
            <a:r>
              <a:rPr lang="en-US" baseline="0"/>
              <a:t> DIagnosis/Presumed Diagnosis for transfer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Graphs!$C$71:$C$72</c:f>
              <c:strCache>
                <c:ptCount val="2"/>
                <c:pt idx="0">
                  <c:v>Primary Diagnosis/Presumed Diagnosis for transfer</c:v>
                </c:pt>
                <c:pt idx="1">
                  <c:v>% Diagnosis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Graphs!$A$73:$A$95</c:f>
              <c:strCache>
                <c:ptCount val="23"/>
                <c:pt idx="0">
                  <c:v>Acute Renal failure</c:v>
                </c:pt>
                <c:pt idx="1">
                  <c:v>Anemia</c:v>
                </c:pt>
                <c:pt idx="2">
                  <c:v>C. Difficile</c:v>
                </c:pt>
                <c:pt idx="3">
                  <c:v>Cardiac arrest</c:v>
                </c:pt>
                <c:pt idx="4">
                  <c:v>Cellulitis</c:v>
                </c:pt>
                <c:pt idx="5">
                  <c:v>CHF</c:v>
                </c:pt>
                <c:pt idx="6">
                  <c:v>COPD/Asthma</c:v>
                </c:pt>
                <c:pt idx="7">
                  <c:v>Dehydration</c:v>
                </c:pt>
                <c:pt idx="8">
                  <c:v>DVT (deep vein thrombosis)</c:v>
                </c:pt>
                <c:pt idx="9">
                  <c:v>Failure to thrive</c:v>
                </c:pt>
                <c:pt idx="10">
                  <c:v>Fracture</c:v>
                </c:pt>
                <c:pt idx="11">
                  <c:v>Gastroenteritis</c:v>
                </c:pt>
                <c:pt idx="12">
                  <c:v>Gastrostomy tube blocked/displaced</c:v>
                </c:pt>
                <c:pt idx="13">
                  <c:v>Hypertension</c:v>
                </c:pt>
                <c:pt idx="14">
                  <c:v>Hypotension</c:v>
                </c:pt>
                <c:pt idx="15">
                  <c:v>Pneumonia/bronchitis</c:v>
                </c:pt>
                <c:pt idx="16">
                  <c:v>Respiratory arrest</c:v>
                </c:pt>
                <c:pt idx="17">
                  <c:v>Respiratory infection</c:v>
                </c:pt>
                <c:pt idx="18">
                  <c:v>Seizure</c:v>
                </c:pt>
                <c:pt idx="19">
                  <c:v>Sepsis</c:v>
                </c:pt>
                <c:pt idx="20">
                  <c:v>Stroke/CVA/TIA</c:v>
                </c:pt>
                <c:pt idx="21">
                  <c:v>UTI</c:v>
                </c:pt>
                <c:pt idx="22">
                  <c:v>Other, not listed</c:v>
                </c:pt>
              </c:strCache>
            </c:strRef>
          </c:cat>
          <c:val>
            <c:numRef>
              <c:f>Graphs!$C$73:$C$95</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F864-4443-95A2-E797BF162BAF}"/>
            </c:ext>
          </c:extLst>
        </c:ser>
        <c:dLbls>
          <c:showLegendKey val="0"/>
          <c:showVal val="0"/>
          <c:showCatName val="0"/>
          <c:showSerName val="0"/>
          <c:showPercent val="0"/>
          <c:showBubbleSize val="0"/>
        </c:dLbls>
        <c:gapWidth val="219"/>
        <c:overlap val="-27"/>
        <c:axId val="1210372552"/>
        <c:axId val="1210370256"/>
        <c:extLst>
          <c:ext xmlns:c15="http://schemas.microsoft.com/office/drawing/2012/chart" uri="{02D57815-91ED-43cb-92C2-25804820EDAC}">
            <c15:filteredBarSeries>
              <c15:ser>
                <c:idx val="0"/>
                <c:order val="0"/>
                <c:tx>
                  <c:strRef>
                    <c:extLst>
                      <c:ext uri="{02D57815-91ED-43cb-92C2-25804820EDAC}">
                        <c15:formulaRef>
                          <c15:sqref>Graphs!$B$71:$B$72</c15:sqref>
                        </c15:formulaRef>
                      </c:ext>
                    </c:extLst>
                    <c:strCache>
                      <c:ptCount val="2"/>
                      <c:pt idx="0">
                        <c:v>Primary Diagnosis/Presumed Diagnosis for transfer</c:v>
                      </c:pt>
                      <c:pt idx="1">
                        <c:v># Diagnosis</c:v>
                      </c:pt>
                    </c:strCache>
                  </c:strRef>
                </c:tx>
                <c:spPr>
                  <a:solidFill>
                    <a:schemeClr val="accent1"/>
                  </a:solidFill>
                  <a:ln>
                    <a:noFill/>
                  </a:ln>
                  <a:effectLst/>
                </c:spPr>
                <c:invertIfNegative val="0"/>
                <c:cat>
                  <c:strRef>
                    <c:extLst>
                      <c:ext uri="{02D57815-91ED-43cb-92C2-25804820EDAC}">
                        <c15:formulaRef>
                          <c15:sqref>Graphs!$A$73:$A$95</c15:sqref>
                        </c15:formulaRef>
                      </c:ext>
                    </c:extLst>
                    <c:strCache>
                      <c:ptCount val="23"/>
                      <c:pt idx="0">
                        <c:v>Acute Renal failure</c:v>
                      </c:pt>
                      <c:pt idx="1">
                        <c:v>Anemia</c:v>
                      </c:pt>
                      <c:pt idx="2">
                        <c:v>C. Difficile</c:v>
                      </c:pt>
                      <c:pt idx="3">
                        <c:v>Cardiac arrest</c:v>
                      </c:pt>
                      <c:pt idx="4">
                        <c:v>Cellulitis</c:v>
                      </c:pt>
                      <c:pt idx="5">
                        <c:v>CHF</c:v>
                      </c:pt>
                      <c:pt idx="6">
                        <c:v>COPD/Asthma</c:v>
                      </c:pt>
                      <c:pt idx="7">
                        <c:v>Dehydration</c:v>
                      </c:pt>
                      <c:pt idx="8">
                        <c:v>DVT (deep vein thrombosis)</c:v>
                      </c:pt>
                      <c:pt idx="9">
                        <c:v>Failure to thrive</c:v>
                      </c:pt>
                      <c:pt idx="10">
                        <c:v>Fracture</c:v>
                      </c:pt>
                      <c:pt idx="11">
                        <c:v>Gastroenteritis</c:v>
                      </c:pt>
                      <c:pt idx="12">
                        <c:v>Gastrostomy tube blocked/displaced</c:v>
                      </c:pt>
                      <c:pt idx="13">
                        <c:v>Hypertension</c:v>
                      </c:pt>
                      <c:pt idx="14">
                        <c:v>Hypotension</c:v>
                      </c:pt>
                      <c:pt idx="15">
                        <c:v>Pneumonia/bronchitis</c:v>
                      </c:pt>
                      <c:pt idx="16">
                        <c:v>Respiratory arrest</c:v>
                      </c:pt>
                      <c:pt idx="17">
                        <c:v>Respiratory infection</c:v>
                      </c:pt>
                      <c:pt idx="18">
                        <c:v>Seizure</c:v>
                      </c:pt>
                      <c:pt idx="19">
                        <c:v>Sepsis</c:v>
                      </c:pt>
                      <c:pt idx="20">
                        <c:v>Stroke/CVA/TIA</c:v>
                      </c:pt>
                      <c:pt idx="21">
                        <c:v>UTI</c:v>
                      </c:pt>
                      <c:pt idx="22">
                        <c:v>Other, not listed</c:v>
                      </c:pt>
                    </c:strCache>
                  </c:strRef>
                </c:cat>
                <c:val>
                  <c:numRef>
                    <c:extLst>
                      <c:ext uri="{02D57815-91ED-43cb-92C2-25804820EDAC}">
                        <c15:formulaRef>
                          <c15:sqref>Graphs!$B$73:$B$95</c15:sqref>
                        </c15:formulaRef>
                      </c:ext>
                    </c:extLst>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F864-4443-95A2-E797BF162BAF}"/>
                  </c:ext>
                </c:extLst>
              </c15:ser>
            </c15:filteredBarSeries>
          </c:ext>
        </c:extLst>
      </c:barChart>
      <c:catAx>
        <c:axId val="1210372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370256"/>
        <c:crosses val="autoZero"/>
        <c:auto val="1"/>
        <c:lblAlgn val="ctr"/>
        <c:lblOffset val="100"/>
        <c:noMultiLvlLbl val="0"/>
      </c:catAx>
      <c:valAx>
        <c:axId val="1210370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372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a:t>Primary Contributing</a:t>
            </a:r>
            <a:r>
              <a:rPr lang="en-US" baseline="0"/>
              <a:t> Factor for Transfer</a:t>
            </a:r>
            <a:endParaRPr lang="en-US"/>
          </a:p>
        </c:rich>
      </c:tx>
      <c:layout>
        <c:manualLayout>
          <c:xMode val="edge"/>
          <c:yMode val="edge"/>
          <c:x val="0.26486062426868018"/>
          <c:y val="4.2743842187416697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Graphs!$C$99:$C$100</c:f>
              <c:strCache>
                <c:ptCount val="2"/>
                <c:pt idx="0">
                  <c:v>Primary Contributing factor for transfer</c:v>
                </c:pt>
                <c:pt idx="1">
                  <c:v>% Factors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Graphs!$A$101:$A$113</c:f>
              <c:strCache>
                <c:ptCount val="13"/>
                <c:pt idx="0">
                  <c:v>Advanced care plan not in place</c:v>
                </c:pt>
                <c:pt idx="1">
                  <c:v>Practitioner unable to provide face to face assessment</c:v>
                </c:pt>
                <c:pt idx="2">
                  <c:v>Supplies/Resources</c:v>
                </c:pt>
                <c:pt idx="3">
                  <c:v>Medication management</c:v>
                </c:pt>
                <c:pt idx="4">
                  <c:v>Equipment not available</c:v>
                </c:pt>
                <c:pt idx="5">
                  <c:v>Problems with nursing staff resources</c:v>
                </c:pt>
                <c:pt idx="6">
                  <c:v>Lack of diagnostic services</c:v>
                </c:pt>
                <c:pt idx="7">
                  <c:v>Resident preference</c:v>
                </c:pt>
                <c:pt idx="8">
                  <c:v>Family preference</c:v>
                </c:pt>
                <c:pt idx="9">
                  <c:v>Clinician insisted</c:v>
                </c:pt>
                <c:pt idx="10">
                  <c:v>Health plan request</c:v>
                </c:pt>
                <c:pt idx="11">
                  <c:v>Resident not matched to our capabilities</c:v>
                </c:pt>
                <c:pt idx="12">
                  <c:v>Other</c:v>
                </c:pt>
              </c:strCache>
            </c:strRef>
          </c:cat>
          <c:val>
            <c:numRef>
              <c:f>Graphs!$C$101:$C$113</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C0AD-45A5-9B87-9B0E12C76262}"/>
            </c:ext>
          </c:extLst>
        </c:ser>
        <c:dLbls>
          <c:showLegendKey val="0"/>
          <c:showVal val="0"/>
          <c:showCatName val="0"/>
          <c:showSerName val="0"/>
          <c:showPercent val="0"/>
          <c:showBubbleSize val="0"/>
        </c:dLbls>
        <c:gapWidth val="219"/>
        <c:overlap val="-27"/>
        <c:axId val="693024952"/>
        <c:axId val="693025608"/>
        <c:extLst>
          <c:ext xmlns:c15="http://schemas.microsoft.com/office/drawing/2012/chart" uri="{02D57815-91ED-43cb-92C2-25804820EDAC}">
            <c15:filteredBarSeries>
              <c15:ser>
                <c:idx val="0"/>
                <c:order val="0"/>
                <c:tx>
                  <c:strRef>
                    <c:extLst>
                      <c:ext uri="{02D57815-91ED-43cb-92C2-25804820EDAC}">
                        <c15:formulaRef>
                          <c15:sqref>Graphs!$B$99:$B$100</c15:sqref>
                        </c15:formulaRef>
                      </c:ext>
                    </c:extLst>
                    <c:strCache>
                      <c:ptCount val="2"/>
                      <c:pt idx="0">
                        <c:v>Primary Contributing factor for transfer</c:v>
                      </c:pt>
                      <c:pt idx="1">
                        <c:v># Factors</c:v>
                      </c:pt>
                    </c:strCache>
                  </c:strRef>
                </c:tx>
                <c:spPr>
                  <a:solidFill>
                    <a:schemeClr val="accent1"/>
                  </a:solidFill>
                  <a:ln>
                    <a:noFill/>
                  </a:ln>
                  <a:effectLst/>
                </c:spPr>
                <c:invertIfNegative val="0"/>
                <c:cat>
                  <c:strRef>
                    <c:extLst>
                      <c:ext uri="{02D57815-91ED-43cb-92C2-25804820EDAC}">
                        <c15:formulaRef>
                          <c15:sqref>Graphs!$A$101:$A$113</c15:sqref>
                        </c15:formulaRef>
                      </c:ext>
                    </c:extLst>
                    <c:strCache>
                      <c:ptCount val="13"/>
                      <c:pt idx="0">
                        <c:v>Advanced care plan not in place</c:v>
                      </c:pt>
                      <c:pt idx="1">
                        <c:v>Practitioner unable to provide face to face assessment</c:v>
                      </c:pt>
                      <c:pt idx="2">
                        <c:v>Supplies/Resources</c:v>
                      </c:pt>
                      <c:pt idx="3">
                        <c:v>Medication management</c:v>
                      </c:pt>
                      <c:pt idx="4">
                        <c:v>Equipment not available</c:v>
                      </c:pt>
                      <c:pt idx="5">
                        <c:v>Problems with nursing staff resources</c:v>
                      </c:pt>
                      <c:pt idx="6">
                        <c:v>Lack of diagnostic services</c:v>
                      </c:pt>
                      <c:pt idx="7">
                        <c:v>Resident preference</c:v>
                      </c:pt>
                      <c:pt idx="8">
                        <c:v>Family preference</c:v>
                      </c:pt>
                      <c:pt idx="9">
                        <c:v>Clinician insisted</c:v>
                      </c:pt>
                      <c:pt idx="10">
                        <c:v>Health plan request</c:v>
                      </c:pt>
                      <c:pt idx="11">
                        <c:v>Resident not matched to our capabilities</c:v>
                      </c:pt>
                      <c:pt idx="12">
                        <c:v>Other</c:v>
                      </c:pt>
                    </c:strCache>
                  </c:strRef>
                </c:cat>
                <c:val>
                  <c:numRef>
                    <c:extLst>
                      <c:ext uri="{02D57815-91ED-43cb-92C2-25804820EDAC}">
                        <c15:formulaRef>
                          <c15:sqref>Graphs!$B$101:$B$113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0AD-45A5-9B87-9B0E12C76262}"/>
                  </c:ext>
                </c:extLst>
              </c15:ser>
            </c15:filteredBarSeries>
          </c:ext>
        </c:extLst>
      </c:barChart>
      <c:catAx>
        <c:axId val="693024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5608"/>
        <c:crosses val="autoZero"/>
        <c:auto val="1"/>
        <c:lblAlgn val="ctr"/>
        <c:lblOffset val="100"/>
        <c:noMultiLvlLbl val="0"/>
      </c:catAx>
      <c:valAx>
        <c:axId val="693025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4952"/>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 of Transfer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Graphs!$C$117:$C$118</c:f>
              <c:strCache>
                <c:ptCount val="2"/>
                <c:pt idx="0">
                  <c:v>Outcome of Transfer</c:v>
                </c:pt>
                <c:pt idx="1">
                  <c:v>% Location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Graphs!$A$119:$A$123</c:f>
              <c:strCache>
                <c:ptCount val="5"/>
                <c:pt idx="0">
                  <c:v>ED visit only</c:v>
                </c:pt>
                <c:pt idx="1">
                  <c:v>Admitted, Inpatient</c:v>
                </c:pt>
                <c:pt idx="2">
                  <c:v>Admitted, observation</c:v>
                </c:pt>
                <c:pt idx="3">
                  <c:v>Admitted, status uncertain</c:v>
                </c:pt>
                <c:pt idx="4">
                  <c:v>Other</c:v>
                </c:pt>
              </c:strCache>
            </c:strRef>
          </c:cat>
          <c:val>
            <c:numRef>
              <c:f>Graphs!$C$119:$C$123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BE17-4D9F-8B66-BCF636A34811}"/>
            </c:ext>
          </c:extLst>
        </c:ser>
        <c:dLbls>
          <c:showLegendKey val="0"/>
          <c:showVal val="0"/>
          <c:showCatName val="0"/>
          <c:showSerName val="0"/>
          <c:showPercent val="0"/>
          <c:showBubbleSize val="0"/>
        </c:dLbls>
        <c:gapWidth val="219"/>
        <c:overlap val="-27"/>
        <c:axId val="1210406008"/>
        <c:axId val="1210405680"/>
        <c:extLst>
          <c:ext xmlns:c15="http://schemas.microsoft.com/office/drawing/2012/chart" uri="{02D57815-91ED-43cb-92C2-25804820EDAC}">
            <c15:filteredBarSeries>
              <c15:ser>
                <c:idx val="0"/>
                <c:order val="0"/>
                <c:tx>
                  <c:strRef>
                    <c:extLst>
                      <c:ext uri="{02D57815-91ED-43cb-92C2-25804820EDAC}">
                        <c15:formulaRef>
                          <c15:sqref>Graphs!$B$117:$B$118</c15:sqref>
                        </c15:formulaRef>
                      </c:ext>
                    </c:extLst>
                    <c:strCache>
                      <c:ptCount val="2"/>
                      <c:pt idx="0">
                        <c:v>Outcome of Transfer</c:v>
                      </c:pt>
                      <c:pt idx="1">
                        <c:v># Location</c:v>
                      </c:pt>
                    </c:strCache>
                  </c:strRef>
                </c:tx>
                <c:spPr>
                  <a:solidFill>
                    <a:schemeClr val="accent1"/>
                  </a:solidFill>
                  <a:ln>
                    <a:noFill/>
                  </a:ln>
                  <a:effectLst/>
                </c:spPr>
                <c:invertIfNegative val="0"/>
                <c:cat>
                  <c:strRef>
                    <c:extLst>
                      <c:ext uri="{02D57815-91ED-43cb-92C2-25804820EDAC}">
                        <c15:formulaRef>
                          <c15:sqref>Graphs!$A$119:$A$123</c15:sqref>
                        </c15:formulaRef>
                      </c:ext>
                    </c:extLst>
                    <c:strCache>
                      <c:ptCount val="5"/>
                      <c:pt idx="0">
                        <c:v>ED visit only</c:v>
                      </c:pt>
                      <c:pt idx="1">
                        <c:v>Admitted, Inpatient</c:v>
                      </c:pt>
                      <c:pt idx="2">
                        <c:v>Admitted, observation</c:v>
                      </c:pt>
                      <c:pt idx="3">
                        <c:v>Admitted, status uncertain</c:v>
                      </c:pt>
                      <c:pt idx="4">
                        <c:v>Other</c:v>
                      </c:pt>
                    </c:strCache>
                  </c:strRef>
                </c:cat>
                <c:val>
                  <c:numRef>
                    <c:extLst>
                      <c:ext uri="{02D57815-91ED-43cb-92C2-25804820EDAC}">
                        <c15:formulaRef>
                          <c15:sqref>Graphs!$B$119:$B$123</c15:sqref>
                        </c15:formulaRef>
                      </c:ext>
                    </c:extLst>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E17-4D9F-8B66-BCF636A34811}"/>
                  </c:ext>
                </c:extLst>
              </c15:ser>
            </c15:filteredBarSeries>
          </c:ext>
        </c:extLst>
      </c:barChart>
      <c:catAx>
        <c:axId val="121040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405680"/>
        <c:crosses val="autoZero"/>
        <c:auto val="1"/>
        <c:lblAlgn val="ctr"/>
        <c:lblOffset val="100"/>
        <c:noMultiLvlLbl val="0"/>
      </c:catAx>
      <c:valAx>
        <c:axId val="1210405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406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Clinician Ordering Transfer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Graphs!$B$127:$B$128</c:f>
              <c:strCache>
                <c:ptCount val="2"/>
                <c:pt idx="0">
                  <c:v>Clinician Ordering Transfer</c:v>
                </c:pt>
                <c:pt idx="1">
                  <c:v># Location</c:v>
                </c:pt>
              </c:strCache>
            </c:strRef>
          </c:tx>
          <c:spPr>
            <a:solidFill>
              <a:schemeClr val="accent1"/>
            </a:solidFill>
            <a:ln>
              <a:noFill/>
            </a:ln>
            <a:effectLst/>
          </c:spPr>
          <c:invertIfNegative val="0"/>
          <c:cat>
            <c:multiLvlStrRef>
              <c:f>Graphs!$A$129:$A$134</c:f>
            </c:multiLvlStrRef>
          </c:cat>
          <c:val>
            <c:numRef>
              <c:f>Graphs!$B$129:$B$134</c:f>
            </c:numRef>
          </c:val>
          <c:extLst xmlns:c15="http://schemas.microsoft.com/office/drawing/2012/chart">
            <c:ext xmlns:c16="http://schemas.microsoft.com/office/drawing/2014/chart" uri="{C3380CC4-5D6E-409C-BE32-E72D297353CC}">
              <c16:uniqueId val="{00000001-2B78-42A3-8B80-DECAF4D366B8}"/>
            </c:ext>
          </c:extLst>
        </c:ser>
        <c:ser>
          <c:idx val="1"/>
          <c:order val="1"/>
          <c:tx>
            <c:strRef>
              <c:f>Graphs!$C$127:$C$128</c:f>
              <c:strCache>
                <c:ptCount val="2"/>
                <c:pt idx="0">
                  <c:v>Clinician Ordering Transfer</c:v>
                </c:pt>
                <c:pt idx="1">
                  <c:v>% Location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Graphs!$A$129:$A$134</c:f>
            </c:multiLvlStrRef>
          </c:cat>
          <c:val>
            <c:numRef>
              <c:f>Graphs!$C$129:$C$134</c:f>
            </c:numRef>
          </c:val>
          <c:extLst>
            <c:ext xmlns:c16="http://schemas.microsoft.com/office/drawing/2014/chart" uri="{C3380CC4-5D6E-409C-BE32-E72D297353CC}">
              <c16:uniqueId val="{00000000-2B78-42A3-8B80-DECAF4D366B8}"/>
            </c:ext>
          </c:extLst>
        </c:ser>
        <c:dLbls>
          <c:showLegendKey val="0"/>
          <c:showVal val="0"/>
          <c:showCatName val="0"/>
          <c:showSerName val="0"/>
          <c:showPercent val="0"/>
          <c:showBubbleSize val="0"/>
        </c:dLbls>
        <c:gapWidth val="219"/>
        <c:overlap val="-27"/>
        <c:axId val="1210406008"/>
        <c:axId val="1210405680"/>
        <c:extLst/>
      </c:barChart>
      <c:catAx>
        <c:axId val="121040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405680"/>
        <c:crosses val="autoZero"/>
        <c:auto val="1"/>
        <c:lblAlgn val="ctr"/>
        <c:lblOffset val="100"/>
        <c:noMultiLvlLbl val="0"/>
      </c:catAx>
      <c:valAx>
        <c:axId val="1210405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406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a:t>Units</a:t>
            </a:r>
          </a:p>
        </c:rich>
      </c:tx>
      <c:layout>
        <c:manualLayout>
          <c:xMode val="edge"/>
          <c:yMode val="edge"/>
          <c:x val="0.47832277254129585"/>
          <c:y val="4.2743831267142346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Graphs!$P$6:$P$7</c:f>
              <c:strCache>
                <c:ptCount val="2"/>
              </c:strCache>
            </c:strRef>
          </c:tx>
          <c:spPr>
            <a:solidFill>
              <a:schemeClr val="accent2"/>
            </a:solidFill>
            <a:ln>
              <a:noFill/>
            </a:ln>
            <a:effectLst/>
          </c:spPr>
          <c:invertIfNegative val="0"/>
          <c:cat>
            <c:numRef>
              <c:f>Graphs!$N$8:$N$20</c:f>
              <c:numCache>
                <c:formatCode>General</c:formatCode>
                <c:ptCount val="13"/>
              </c:numCache>
            </c:numRef>
          </c:cat>
          <c:val>
            <c:numRef>
              <c:f>Graphs!$P$8:$P$20</c:f>
              <c:numCache>
                <c:formatCode>0%</c:formatCode>
                <c:ptCount val="13"/>
              </c:numCache>
            </c:numRef>
          </c:val>
          <c:extLst>
            <c:ext xmlns:c16="http://schemas.microsoft.com/office/drawing/2014/chart" uri="{C3380CC4-5D6E-409C-BE32-E72D297353CC}">
              <c16:uniqueId val="{00000000-BF58-4E25-BC73-E0726B8353E3}"/>
            </c:ext>
          </c:extLst>
        </c:ser>
        <c:dLbls>
          <c:showLegendKey val="0"/>
          <c:showVal val="0"/>
          <c:showCatName val="0"/>
          <c:showSerName val="0"/>
          <c:showPercent val="0"/>
          <c:showBubbleSize val="0"/>
        </c:dLbls>
        <c:gapWidth val="219"/>
        <c:overlap val="-27"/>
        <c:axId val="693024952"/>
        <c:axId val="693025608"/>
        <c:extLst>
          <c:ext xmlns:c15="http://schemas.microsoft.com/office/drawing/2012/chart" uri="{02D57815-91ED-43cb-92C2-25804820EDAC}">
            <c15:filteredBarSeries>
              <c15:ser>
                <c:idx val="0"/>
                <c:order val="0"/>
                <c:tx>
                  <c:strRef>
                    <c:extLst>
                      <c:ext uri="{02D57815-91ED-43cb-92C2-25804820EDAC}">
                        <c15:formulaRef>
                          <c15:sqref>Graphs!$O$6:$O$7</c15:sqref>
                        </c15:formulaRef>
                      </c:ext>
                    </c:extLst>
                    <c:strCache>
                      <c:ptCount val="2"/>
                    </c:strCache>
                  </c:strRef>
                </c:tx>
                <c:spPr>
                  <a:solidFill>
                    <a:schemeClr val="accent1"/>
                  </a:solidFill>
                  <a:ln>
                    <a:noFill/>
                  </a:ln>
                  <a:effectLst/>
                </c:spPr>
                <c:invertIfNegative val="0"/>
                <c:cat>
                  <c:numRef>
                    <c:extLst>
                      <c:ext uri="{02D57815-91ED-43cb-92C2-25804820EDAC}">
                        <c15:formulaRef>
                          <c15:sqref>Graphs!$N$8:$N$20</c15:sqref>
                        </c15:formulaRef>
                      </c:ext>
                    </c:extLst>
                    <c:numCache>
                      <c:formatCode>General</c:formatCode>
                      <c:ptCount val="13"/>
                    </c:numCache>
                  </c:numRef>
                </c:cat>
                <c:val>
                  <c:numRef>
                    <c:extLst>
                      <c:ext uri="{02D57815-91ED-43cb-92C2-25804820EDAC}">
                        <c15:formulaRef>
                          <c15:sqref>Graphs!$O$8:$O$20</c15:sqref>
                        </c15:formulaRef>
                      </c:ext>
                    </c:extLst>
                    <c:numCache>
                      <c:formatCode>General</c:formatCode>
                      <c:ptCount val="13"/>
                    </c:numCache>
                  </c:numRef>
                </c:val>
                <c:extLst>
                  <c:ext xmlns:c16="http://schemas.microsoft.com/office/drawing/2014/chart" uri="{C3380CC4-5D6E-409C-BE32-E72D297353CC}">
                    <c16:uniqueId val="{00000001-BF58-4E25-BC73-E0726B8353E3}"/>
                  </c:ext>
                </c:extLst>
              </c15:ser>
            </c15:filteredBarSeries>
          </c:ext>
        </c:extLst>
      </c:barChart>
      <c:catAx>
        <c:axId val="693024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5608"/>
        <c:crosses val="autoZero"/>
        <c:auto val="1"/>
        <c:lblAlgn val="ctr"/>
        <c:lblOffset val="100"/>
        <c:noMultiLvlLbl val="0"/>
      </c:catAx>
      <c:valAx>
        <c:axId val="693025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4952"/>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8</xdr:col>
      <xdr:colOff>15240</xdr:colOff>
      <xdr:row>1</xdr:row>
      <xdr:rowOff>0</xdr:rowOff>
    </xdr:from>
    <xdr:ext cx="1066800" cy="1889760"/>
    <xdr:sp macro="" textlink="">
      <xdr:nvSpPr>
        <xdr:cNvPr id="2" name="TextBox 1">
          <a:extLst>
            <a:ext uri="{FF2B5EF4-FFF2-40B4-BE49-F238E27FC236}">
              <a16:creationId xmlns:a16="http://schemas.microsoft.com/office/drawing/2014/main" id="{0D25B2B3-F03F-112C-5CB8-786AD5D0AEF2}"/>
            </a:ext>
          </a:extLst>
        </xdr:cNvPr>
        <xdr:cNvSpPr txBox="1"/>
      </xdr:nvSpPr>
      <xdr:spPr>
        <a:xfrm>
          <a:off x="8305800" y="320040"/>
          <a:ext cx="106680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00" b="1"/>
            <a:t>Transfer</a:t>
          </a:r>
          <a:r>
            <a:rPr lang="en-US" sz="900" b="1" baseline="0"/>
            <a:t> Time of Day</a:t>
          </a:r>
        </a:p>
        <a:p>
          <a:pPr algn="ctr"/>
          <a:r>
            <a:rPr lang="en-US" sz="900" b="0" baseline="0"/>
            <a:t>Morning:</a:t>
          </a:r>
        </a:p>
        <a:p>
          <a:pPr algn="ctr"/>
          <a:r>
            <a:rPr lang="en-US" sz="900" b="0" baseline="0"/>
            <a:t>7 AM- Noon</a:t>
          </a:r>
          <a:endParaRPr lang="en-US" sz="900" b="0"/>
        </a:p>
        <a:p>
          <a:pPr algn="ctr"/>
          <a:endParaRPr lang="en-US" sz="900" b="0"/>
        </a:p>
        <a:p>
          <a:pPr algn="ctr"/>
          <a:r>
            <a:rPr lang="en-US" sz="900" b="0"/>
            <a:t>Afternoon:                          Noon- 7 PM </a:t>
          </a:r>
        </a:p>
        <a:p>
          <a:pPr algn="ctr"/>
          <a:r>
            <a:rPr lang="en-US" sz="900" b="0"/>
            <a:t>                     Evening:                       7 PM-midnight</a:t>
          </a:r>
        </a:p>
        <a:p>
          <a:pPr algn="ctr"/>
          <a:endParaRPr lang="en-US" sz="800" b="0"/>
        </a:p>
        <a:p>
          <a:pPr algn="ctr"/>
          <a:r>
            <a:rPr lang="en-US" sz="900" b="0"/>
            <a:t>Night:                     Midnight- 7 AM</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598170</xdr:colOff>
      <xdr:row>5</xdr:row>
      <xdr:rowOff>30480</xdr:rowOff>
    </xdr:from>
    <xdr:to>
      <xdr:col>11</xdr:col>
      <xdr:colOff>287655</xdr:colOff>
      <xdr:row>15</xdr:row>
      <xdr:rowOff>19050</xdr:rowOff>
    </xdr:to>
    <xdr:graphicFrame macro="">
      <xdr:nvGraphicFramePr>
        <xdr:cNvPr id="2" name="Chart 1">
          <a:extLst>
            <a:ext uri="{FF2B5EF4-FFF2-40B4-BE49-F238E27FC236}">
              <a16:creationId xmlns:a16="http://schemas.microsoft.com/office/drawing/2014/main" id="{5E2872B7-7FA8-4B1D-ABAF-A5F450F01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594359</xdr:colOff>
      <xdr:row>15</xdr:row>
      <xdr:rowOff>240982</xdr:rowOff>
    </xdr:from>
    <xdr:to>
      <xdr:col>11</xdr:col>
      <xdr:colOff>287654</xdr:colOff>
      <xdr:row>23</xdr:row>
      <xdr:rowOff>66675</xdr:rowOff>
    </xdr:to>
    <xdr:graphicFrame macro="">
      <xdr:nvGraphicFramePr>
        <xdr:cNvPr id="3" name="Chart 2">
          <a:extLst>
            <a:ext uri="{FF2B5EF4-FFF2-40B4-BE49-F238E27FC236}">
              <a16:creationId xmlns:a16="http://schemas.microsoft.com/office/drawing/2014/main" id="{75188F11-0938-4AEF-9205-039AC56217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582931</xdr:colOff>
      <xdr:row>24</xdr:row>
      <xdr:rowOff>161925</xdr:rowOff>
    </xdr:from>
    <xdr:to>
      <xdr:col>16</xdr:col>
      <xdr:colOff>323850</xdr:colOff>
      <xdr:row>36</xdr:row>
      <xdr:rowOff>60959</xdr:rowOff>
    </xdr:to>
    <xdr:graphicFrame macro="">
      <xdr:nvGraphicFramePr>
        <xdr:cNvPr id="6" name="Chart 5">
          <a:extLst>
            <a:ext uri="{FF2B5EF4-FFF2-40B4-BE49-F238E27FC236}">
              <a16:creationId xmlns:a16="http://schemas.microsoft.com/office/drawing/2014/main" id="{620F8E26-8AAC-4D41-B7C0-7D6675FCC2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xdr:colOff>
      <xdr:row>41</xdr:row>
      <xdr:rowOff>215265</xdr:rowOff>
    </xdr:from>
    <xdr:to>
      <xdr:col>14</xdr:col>
      <xdr:colOff>459105</xdr:colOff>
      <xdr:row>63</xdr:row>
      <xdr:rowOff>1905</xdr:rowOff>
    </xdr:to>
    <xdr:graphicFrame macro="">
      <xdr:nvGraphicFramePr>
        <xdr:cNvPr id="7" name="Chart 6">
          <a:extLst>
            <a:ext uri="{FF2B5EF4-FFF2-40B4-BE49-F238E27FC236}">
              <a16:creationId xmlns:a16="http://schemas.microsoft.com/office/drawing/2014/main" id="{EF261B72-98DC-4779-971A-49FF4D906F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27622</xdr:colOff>
      <xdr:row>69</xdr:row>
      <xdr:rowOff>151447</xdr:rowOff>
    </xdr:from>
    <xdr:to>
      <xdr:col>14</xdr:col>
      <xdr:colOff>447675</xdr:colOff>
      <xdr:row>96</xdr:row>
      <xdr:rowOff>87630</xdr:rowOff>
    </xdr:to>
    <xdr:graphicFrame macro="">
      <xdr:nvGraphicFramePr>
        <xdr:cNvPr id="8" name="Chart 7">
          <a:extLst>
            <a:ext uri="{FF2B5EF4-FFF2-40B4-BE49-F238E27FC236}">
              <a16:creationId xmlns:a16="http://schemas.microsoft.com/office/drawing/2014/main" id="{889743C7-4878-43A3-80EA-6E9BB7180E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2857</xdr:colOff>
      <xdr:row>97</xdr:row>
      <xdr:rowOff>227647</xdr:rowOff>
    </xdr:from>
    <xdr:to>
      <xdr:col>12</xdr:col>
      <xdr:colOff>600075</xdr:colOff>
      <xdr:row>114</xdr:row>
      <xdr:rowOff>92392</xdr:rowOff>
    </xdr:to>
    <xdr:graphicFrame macro="">
      <xdr:nvGraphicFramePr>
        <xdr:cNvPr id="9" name="Chart 8">
          <a:extLst>
            <a:ext uri="{FF2B5EF4-FFF2-40B4-BE49-F238E27FC236}">
              <a16:creationId xmlns:a16="http://schemas.microsoft.com/office/drawing/2014/main" id="{B2104AE7-8A0D-45F2-A731-80B0DEBC05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10477</xdr:colOff>
      <xdr:row>115</xdr:row>
      <xdr:rowOff>160972</xdr:rowOff>
    </xdr:from>
    <xdr:to>
      <xdr:col>10</xdr:col>
      <xdr:colOff>507682</xdr:colOff>
      <xdr:row>124</xdr:row>
      <xdr:rowOff>100965</xdr:rowOff>
    </xdr:to>
    <xdr:graphicFrame macro="">
      <xdr:nvGraphicFramePr>
        <xdr:cNvPr id="10" name="Chart 9">
          <a:extLst>
            <a:ext uri="{FF2B5EF4-FFF2-40B4-BE49-F238E27FC236}">
              <a16:creationId xmlns:a16="http://schemas.microsoft.com/office/drawing/2014/main" id="{1A23E17B-A65B-4805-A228-40B4449DB3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126</xdr:row>
      <xdr:rowOff>0</xdr:rowOff>
    </xdr:from>
    <xdr:to>
      <xdr:col>10</xdr:col>
      <xdr:colOff>499110</xdr:colOff>
      <xdr:row>136</xdr:row>
      <xdr:rowOff>229553</xdr:rowOff>
    </xdr:to>
    <xdr:graphicFrame macro="">
      <xdr:nvGraphicFramePr>
        <xdr:cNvPr id="4" name="Chart 3">
          <a:extLst>
            <a:ext uri="{FF2B5EF4-FFF2-40B4-BE49-F238E27FC236}">
              <a16:creationId xmlns:a16="http://schemas.microsoft.com/office/drawing/2014/main" id="{BB6BFF22-330E-46D4-BA4F-ADA6C9331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20955</xdr:colOff>
      <xdr:row>4</xdr:row>
      <xdr:rowOff>240030</xdr:rowOff>
    </xdr:from>
    <xdr:to>
      <xdr:col>34</xdr:col>
      <xdr:colOff>227648</xdr:colOff>
      <xdr:row>21</xdr:row>
      <xdr:rowOff>9525</xdr:rowOff>
    </xdr:to>
    <xdr:graphicFrame macro="">
      <xdr:nvGraphicFramePr>
        <xdr:cNvPr id="5" name="Chart 4">
          <a:extLst>
            <a:ext uri="{FF2B5EF4-FFF2-40B4-BE49-F238E27FC236}">
              <a16:creationId xmlns:a16="http://schemas.microsoft.com/office/drawing/2014/main" id="{7AA0FE76-C2CA-4615-AA2B-1DA6656DAC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2"/>
  <sheetViews>
    <sheetView zoomScaleNormal="100" workbookViewId="0">
      <selection activeCell="L3" sqref="L3"/>
    </sheetView>
  </sheetViews>
  <sheetFormatPr defaultRowHeight="15" x14ac:dyDescent="0.25"/>
  <cols>
    <col min="1" max="1" width="32.85546875" bestFit="1" customWidth="1"/>
    <col min="2" max="2" width="15.5703125" customWidth="1"/>
    <col min="3" max="3" width="9.85546875" customWidth="1"/>
    <col min="4" max="4" width="12.42578125" customWidth="1"/>
    <col min="5" max="6" width="14.5703125" customWidth="1"/>
    <col min="7" max="7" width="11.42578125" customWidth="1"/>
    <col min="8" max="8" width="9.42578125" customWidth="1"/>
    <col min="9" max="9" width="15.5703125" customWidth="1"/>
    <col min="10" max="10" width="17" customWidth="1"/>
    <col min="11" max="11" width="18.5703125" customWidth="1"/>
    <col min="12" max="12" width="18.42578125" customWidth="1"/>
    <col min="13" max="13" width="19.42578125" customWidth="1"/>
    <col min="14" max="14" width="51.42578125" customWidth="1"/>
  </cols>
  <sheetData>
    <row r="1" spans="1:15" ht="25.35" customHeight="1" x14ac:dyDescent="0.4">
      <c r="A1" s="47" t="s">
        <v>0</v>
      </c>
      <c r="B1" s="47"/>
      <c r="C1" s="47"/>
      <c r="D1" s="47"/>
      <c r="E1" s="47"/>
      <c r="F1" s="47"/>
      <c r="G1" s="47"/>
      <c r="H1" s="47"/>
      <c r="I1" s="47"/>
      <c r="J1" s="47"/>
      <c r="K1" s="47"/>
      <c r="L1" s="47"/>
      <c r="M1" s="47"/>
      <c r="N1" s="47"/>
    </row>
    <row r="2" spans="1:15" s="1" customFormat="1" ht="148.35" customHeight="1" x14ac:dyDescent="0.2">
      <c r="A2" s="23" t="s">
        <v>1</v>
      </c>
      <c r="B2" s="23" t="s">
        <v>2</v>
      </c>
      <c r="C2" s="23" t="s">
        <v>3</v>
      </c>
      <c r="D2" s="23" t="s">
        <v>4</v>
      </c>
      <c r="E2" s="23" t="s">
        <v>5</v>
      </c>
      <c r="F2" s="23" t="s">
        <v>6</v>
      </c>
      <c r="G2" s="23" t="s">
        <v>7</v>
      </c>
      <c r="H2" s="24" t="s">
        <v>8</v>
      </c>
      <c r="I2" s="41"/>
      <c r="J2" s="23" t="s">
        <v>9</v>
      </c>
      <c r="K2" s="23" t="s">
        <v>10</v>
      </c>
      <c r="L2" s="23" t="s">
        <v>11</v>
      </c>
      <c r="M2" s="23" t="s">
        <v>12</v>
      </c>
      <c r="N2" s="23" t="s">
        <v>13</v>
      </c>
      <c r="O2" s="28"/>
    </row>
    <row r="3" spans="1:15" ht="48" customHeight="1" x14ac:dyDescent="0.25">
      <c r="A3" s="6"/>
      <c r="B3" s="31"/>
      <c r="C3" s="5"/>
      <c r="D3" s="18"/>
      <c r="E3" s="18"/>
      <c r="F3" s="5"/>
      <c r="G3" s="5"/>
      <c r="H3" s="5"/>
      <c r="I3" s="26"/>
      <c r="J3" s="18"/>
      <c r="K3" s="18"/>
      <c r="L3" s="18"/>
      <c r="M3" s="18"/>
      <c r="N3" s="5"/>
      <c r="O3" s="6"/>
    </row>
    <row r="4" spans="1:15" ht="48" customHeight="1" x14ac:dyDescent="0.25">
      <c r="A4" s="6"/>
      <c r="B4" s="31"/>
      <c r="C4" s="5"/>
      <c r="D4" s="18"/>
      <c r="E4" s="18"/>
      <c r="F4" s="5"/>
      <c r="G4" s="5"/>
      <c r="H4" s="5"/>
      <c r="I4" s="26"/>
      <c r="J4" s="18"/>
      <c r="K4" s="18"/>
      <c r="L4" s="18"/>
      <c r="M4" s="18"/>
      <c r="N4" s="5"/>
    </row>
    <row r="5" spans="1:15" ht="48" customHeight="1" x14ac:dyDescent="0.25">
      <c r="A5" s="42"/>
      <c r="B5" s="43"/>
      <c r="C5" s="44"/>
      <c r="D5" s="45"/>
      <c r="E5" s="45"/>
      <c r="F5" s="44"/>
      <c r="G5" s="44"/>
      <c r="H5" s="44"/>
      <c r="I5" s="46"/>
      <c r="J5" s="45"/>
      <c r="K5" s="45"/>
      <c r="L5" s="18"/>
      <c r="M5" s="18"/>
      <c r="N5" s="5"/>
    </row>
    <row r="6" spans="1:15" ht="48" customHeight="1" x14ac:dyDescent="0.25">
      <c r="A6" s="42"/>
      <c r="B6" s="43"/>
      <c r="C6" s="44"/>
      <c r="D6" s="45"/>
      <c r="E6" s="45"/>
      <c r="F6" s="44"/>
      <c r="G6" s="44"/>
      <c r="H6" s="44"/>
      <c r="I6" s="46"/>
      <c r="J6" s="45"/>
      <c r="K6" s="45"/>
      <c r="L6" s="18"/>
      <c r="M6" s="18"/>
      <c r="N6" s="5"/>
    </row>
    <row r="7" spans="1:15" ht="48" customHeight="1" x14ac:dyDescent="0.25">
      <c r="A7" s="6"/>
      <c r="B7" s="31"/>
      <c r="C7" s="5"/>
      <c r="D7" s="18"/>
      <c r="E7" s="18"/>
      <c r="F7" s="5"/>
      <c r="G7" s="5"/>
      <c r="H7" s="5"/>
      <c r="I7" s="26"/>
      <c r="J7" s="18"/>
      <c r="K7" s="18"/>
      <c r="L7" s="18"/>
      <c r="M7" s="18"/>
      <c r="N7" s="5"/>
    </row>
    <row r="8" spans="1:15" ht="48" customHeight="1" x14ac:dyDescent="0.25">
      <c r="A8" s="6"/>
      <c r="B8" s="31"/>
      <c r="C8" s="5"/>
      <c r="D8" s="18"/>
      <c r="E8" s="18"/>
      <c r="F8" s="5"/>
      <c r="G8" s="5"/>
      <c r="H8" s="5"/>
      <c r="I8" s="26"/>
      <c r="J8" s="18"/>
      <c r="K8" s="18"/>
      <c r="L8" s="18"/>
      <c r="M8" s="18"/>
      <c r="N8" s="5"/>
    </row>
    <row r="9" spans="1:15" ht="48" customHeight="1" x14ac:dyDescent="0.25">
      <c r="A9" s="6"/>
      <c r="B9" s="31"/>
      <c r="C9" s="5"/>
      <c r="D9" s="18"/>
      <c r="E9" s="18"/>
      <c r="F9" s="5"/>
      <c r="G9" s="5"/>
      <c r="H9" s="5"/>
      <c r="I9" s="26"/>
      <c r="J9" s="18"/>
      <c r="K9" s="18"/>
      <c r="L9" s="18"/>
      <c r="M9" s="18"/>
      <c r="N9" s="5"/>
    </row>
    <row r="10" spans="1:15" ht="48" customHeight="1" x14ac:dyDescent="0.25">
      <c r="A10" s="6"/>
      <c r="B10" s="31"/>
      <c r="C10" s="5"/>
      <c r="D10" s="18"/>
      <c r="E10" s="18"/>
      <c r="F10" s="5"/>
      <c r="G10" s="5"/>
      <c r="H10" s="5"/>
      <c r="I10" s="26"/>
      <c r="J10" s="18"/>
      <c r="K10" s="18"/>
      <c r="L10" s="18"/>
      <c r="M10" s="18"/>
      <c r="N10" s="5"/>
    </row>
    <row r="11" spans="1:15" ht="48" customHeight="1" x14ac:dyDescent="0.25">
      <c r="A11" s="6"/>
      <c r="B11" s="31"/>
      <c r="C11" s="5"/>
      <c r="D11" s="18"/>
      <c r="E11" s="18"/>
      <c r="F11" s="5"/>
      <c r="G11" s="5"/>
      <c r="H11" s="5"/>
      <c r="I11" s="26"/>
      <c r="J11" s="18"/>
      <c r="K11" s="18"/>
      <c r="L11" s="18"/>
      <c r="M11" s="18"/>
      <c r="N11" s="5"/>
    </row>
    <row r="12" spans="1:15" ht="48" customHeight="1" x14ac:dyDescent="0.25">
      <c r="A12" s="6"/>
      <c r="B12" s="31"/>
      <c r="C12" s="5"/>
      <c r="D12" s="18"/>
      <c r="E12" s="18"/>
      <c r="F12" s="5"/>
      <c r="G12" s="5"/>
      <c r="H12" s="5"/>
      <c r="I12" s="26"/>
      <c r="J12" s="18"/>
      <c r="K12" s="18"/>
      <c r="L12" s="18"/>
      <c r="M12" s="18"/>
      <c r="N12" s="5"/>
    </row>
    <row r="13" spans="1:15" ht="48" customHeight="1" x14ac:dyDescent="0.25">
      <c r="A13" s="6"/>
      <c r="B13" s="31"/>
      <c r="C13" s="5"/>
      <c r="D13" s="18"/>
      <c r="E13" s="18"/>
      <c r="F13" s="5"/>
      <c r="G13" s="5"/>
      <c r="H13" s="5"/>
      <c r="I13" s="26"/>
      <c r="J13" s="18"/>
      <c r="K13" s="18"/>
      <c r="L13" s="18"/>
      <c r="M13" s="18"/>
      <c r="N13" s="5"/>
    </row>
    <row r="14" spans="1:15" ht="48" customHeight="1" x14ac:dyDescent="0.25">
      <c r="A14" s="6"/>
      <c r="B14" s="31"/>
      <c r="C14" s="5"/>
      <c r="D14" s="18"/>
      <c r="E14" s="18"/>
      <c r="F14" s="5"/>
      <c r="G14" s="5"/>
      <c r="H14" s="5"/>
      <c r="I14" s="26"/>
      <c r="J14" s="18"/>
      <c r="K14" s="18"/>
      <c r="L14" s="18"/>
      <c r="M14" s="18"/>
      <c r="N14" s="5"/>
    </row>
    <row r="15" spans="1:15" ht="48" customHeight="1" x14ac:dyDescent="0.25">
      <c r="A15" s="6"/>
      <c r="B15" s="31"/>
      <c r="C15" s="5"/>
      <c r="D15" s="18"/>
      <c r="E15" s="18"/>
      <c r="F15" s="5"/>
      <c r="G15" s="5"/>
      <c r="H15" s="5"/>
      <c r="I15" s="26"/>
      <c r="J15" s="18"/>
      <c r="K15" s="18"/>
      <c r="L15" s="18"/>
      <c r="M15" s="18"/>
      <c r="N15" s="5"/>
    </row>
    <row r="16" spans="1:15" ht="48" customHeight="1" x14ac:dyDescent="0.25">
      <c r="A16" s="6"/>
      <c r="B16" s="31"/>
      <c r="C16" s="5"/>
      <c r="D16" s="18"/>
      <c r="E16" s="18"/>
      <c r="F16" s="5"/>
      <c r="G16" s="5"/>
      <c r="H16" s="5"/>
      <c r="I16" s="26"/>
      <c r="J16" s="18"/>
      <c r="K16" s="18"/>
      <c r="L16" s="18"/>
      <c r="M16" s="18"/>
      <c r="N16" s="5"/>
    </row>
    <row r="17" spans="1:14" ht="48" customHeight="1" x14ac:dyDescent="0.25">
      <c r="A17" s="6"/>
      <c r="B17" s="31"/>
      <c r="C17" s="5"/>
      <c r="D17" s="18"/>
      <c r="E17" s="18"/>
      <c r="F17" s="5"/>
      <c r="G17" s="5"/>
      <c r="H17" s="5"/>
      <c r="I17" s="26"/>
      <c r="J17" s="18"/>
      <c r="K17" s="18"/>
      <c r="L17" s="18"/>
      <c r="M17" s="18"/>
      <c r="N17" s="5"/>
    </row>
    <row r="18" spans="1:14" ht="48" customHeight="1" x14ac:dyDescent="0.25">
      <c r="A18" s="6"/>
      <c r="B18" s="31"/>
      <c r="C18" s="5"/>
      <c r="D18" s="18"/>
      <c r="E18" s="18"/>
      <c r="F18" s="5"/>
      <c r="G18" s="5"/>
      <c r="H18" s="5"/>
      <c r="I18" s="26"/>
      <c r="J18" s="18"/>
      <c r="K18" s="18"/>
      <c r="L18" s="18"/>
      <c r="M18" s="18"/>
      <c r="N18" s="5"/>
    </row>
    <row r="19" spans="1:14" ht="48" customHeight="1" x14ac:dyDescent="0.25">
      <c r="A19" s="6"/>
      <c r="B19" s="31"/>
      <c r="C19" s="5"/>
      <c r="D19" s="18"/>
      <c r="E19" s="18"/>
      <c r="F19" s="5"/>
      <c r="G19" s="5"/>
      <c r="H19" s="5"/>
      <c r="I19" s="26"/>
      <c r="J19" s="18"/>
      <c r="K19" s="18"/>
      <c r="L19" s="18"/>
      <c r="M19" s="18"/>
      <c r="N19" s="5"/>
    </row>
    <row r="20" spans="1:14" ht="48" customHeight="1" x14ac:dyDescent="0.25">
      <c r="A20" s="6"/>
      <c r="B20" s="31"/>
      <c r="C20" s="5"/>
      <c r="D20" s="18"/>
      <c r="E20" s="18"/>
      <c r="F20" s="5"/>
      <c r="G20" s="5"/>
      <c r="H20" s="5"/>
      <c r="I20" s="26"/>
      <c r="J20" s="18"/>
      <c r="K20" s="18"/>
      <c r="L20" s="18"/>
      <c r="M20" s="18"/>
      <c r="N20" s="5"/>
    </row>
    <row r="21" spans="1:14" ht="48" customHeight="1" x14ac:dyDescent="0.25">
      <c r="A21" s="6"/>
      <c r="B21" s="31"/>
      <c r="C21" s="5"/>
      <c r="D21" s="18"/>
      <c r="E21" s="18"/>
      <c r="F21" s="5"/>
      <c r="G21" s="5"/>
      <c r="H21" s="5"/>
      <c r="I21" s="26"/>
      <c r="J21" s="18"/>
      <c r="K21" s="18"/>
      <c r="L21" s="18"/>
      <c r="M21" s="18"/>
      <c r="N21" s="5"/>
    </row>
    <row r="22" spans="1:14" ht="48" customHeight="1" x14ac:dyDescent="0.25">
      <c r="A22" s="6"/>
      <c r="B22" s="30"/>
      <c r="C22" s="5"/>
      <c r="D22" s="18"/>
      <c r="E22" s="18"/>
      <c r="F22" s="5"/>
      <c r="G22" s="5"/>
      <c r="H22" s="5"/>
      <c r="I22" s="26"/>
      <c r="J22" s="18"/>
      <c r="K22" s="18"/>
      <c r="L22" s="18"/>
      <c r="M22" s="18"/>
      <c r="N22" s="5"/>
    </row>
    <row r="23" spans="1:14" ht="48" customHeight="1" x14ac:dyDescent="0.25">
      <c r="A23" s="6"/>
      <c r="B23" s="30"/>
      <c r="C23" s="5"/>
      <c r="D23" s="18"/>
      <c r="E23" s="18"/>
      <c r="F23" s="5"/>
      <c r="G23" s="5"/>
      <c r="H23" s="5"/>
      <c r="I23" s="26"/>
      <c r="J23" s="18"/>
      <c r="K23" s="18"/>
      <c r="L23" s="18"/>
      <c r="M23" s="18"/>
      <c r="N23" s="5"/>
    </row>
    <row r="24" spans="1:14" ht="48" customHeight="1" x14ac:dyDescent="0.25">
      <c r="A24" s="6"/>
      <c r="B24" s="5"/>
      <c r="C24" s="5"/>
      <c r="D24" s="18"/>
      <c r="E24" s="18"/>
      <c r="F24" s="5"/>
      <c r="G24" s="5"/>
      <c r="H24" s="5"/>
      <c r="I24" s="26"/>
      <c r="J24" s="18"/>
      <c r="K24" s="18"/>
      <c r="L24" s="18"/>
      <c r="M24" s="18"/>
      <c r="N24" s="5"/>
    </row>
    <row r="25" spans="1:14" ht="48" customHeight="1" x14ac:dyDescent="0.25">
      <c r="A25" s="6"/>
      <c r="B25" s="5"/>
      <c r="C25" s="5"/>
      <c r="D25" s="18"/>
      <c r="E25" s="18"/>
      <c r="F25" s="5"/>
      <c r="G25" s="5"/>
      <c r="H25" s="5"/>
      <c r="I25" s="26"/>
      <c r="J25" s="18"/>
      <c r="K25" s="18"/>
      <c r="L25" s="18"/>
      <c r="M25" s="18"/>
      <c r="N25" s="5"/>
    </row>
    <row r="26" spans="1:14" ht="48" customHeight="1" x14ac:dyDescent="0.25">
      <c r="A26" s="6"/>
      <c r="B26" s="5"/>
      <c r="C26" s="5"/>
      <c r="D26" s="18"/>
      <c r="E26" s="18"/>
      <c r="F26" s="5"/>
      <c r="G26" s="5"/>
      <c r="H26" s="5"/>
      <c r="I26" s="26"/>
      <c r="J26" s="18"/>
      <c r="K26" s="18"/>
      <c r="L26" s="18"/>
      <c r="M26" s="18"/>
      <c r="N26" s="5"/>
    </row>
    <row r="27" spans="1:14" ht="48" customHeight="1" x14ac:dyDescent="0.25">
      <c r="A27" s="6"/>
      <c r="B27" s="5"/>
      <c r="C27" s="5"/>
      <c r="D27" s="18"/>
      <c r="E27" s="18"/>
      <c r="F27" s="5"/>
      <c r="G27" s="5"/>
      <c r="H27" s="5"/>
      <c r="I27" s="26"/>
      <c r="J27" s="18"/>
      <c r="K27" s="18"/>
      <c r="L27" s="18"/>
      <c r="M27" s="18"/>
      <c r="N27" s="5"/>
    </row>
    <row r="28" spans="1:14" ht="48" customHeight="1" x14ac:dyDescent="0.25">
      <c r="A28" s="6"/>
      <c r="B28" s="5"/>
      <c r="C28" s="5"/>
      <c r="D28" s="18"/>
      <c r="E28" s="18"/>
      <c r="F28" s="5"/>
      <c r="G28" s="5"/>
      <c r="H28" s="5"/>
      <c r="I28" s="26"/>
      <c r="J28" s="18"/>
      <c r="K28" s="18"/>
      <c r="L28" s="18"/>
      <c r="M28" s="18"/>
      <c r="N28" s="5"/>
    </row>
    <row r="29" spans="1:14" ht="48" customHeight="1" x14ac:dyDescent="0.25">
      <c r="A29" s="6"/>
      <c r="B29" s="5"/>
      <c r="C29" s="5"/>
      <c r="D29" s="18"/>
      <c r="E29" s="18"/>
      <c r="F29" s="5"/>
      <c r="G29" s="5"/>
      <c r="H29" s="5"/>
      <c r="I29" s="26"/>
      <c r="J29" s="18"/>
      <c r="K29" s="18"/>
      <c r="L29" s="18"/>
      <c r="M29" s="18"/>
      <c r="N29" s="5"/>
    </row>
    <row r="30" spans="1:14" ht="48" customHeight="1" x14ac:dyDescent="0.25">
      <c r="A30" s="6"/>
      <c r="B30" s="5"/>
      <c r="C30" s="5"/>
      <c r="D30" s="18"/>
      <c r="E30" s="18"/>
      <c r="F30" s="5"/>
      <c r="G30" s="5"/>
      <c r="H30" s="5"/>
      <c r="I30" s="26"/>
      <c r="J30" s="18"/>
      <c r="K30" s="18"/>
      <c r="L30" s="18"/>
      <c r="M30" s="18"/>
      <c r="N30" s="5"/>
    </row>
    <row r="31" spans="1:14" ht="48" customHeight="1" x14ac:dyDescent="0.25">
      <c r="A31" s="6"/>
      <c r="B31" s="5"/>
      <c r="C31" s="5"/>
      <c r="D31" s="18"/>
      <c r="E31" s="18"/>
      <c r="F31" s="5"/>
      <c r="G31" s="5"/>
      <c r="H31" s="5"/>
      <c r="I31" s="26"/>
      <c r="J31" s="18"/>
      <c r="K31" s="18"/>
      <c r="L31" s="18"/>
      <c r="M31" s="18"/>
      <c r="N31" s="5"/>
    </row>
    <row r="32" spans="1:14" ht="48" customHeight="1" x14ac:dyDescent="0.25">
      <c r="A32" s="6"/>
      <c r="B32" s="5"/>
      <c r="C32" s="5"/>
      <c r="D32" s="18"/>
      <c r="E32" s="18"/>
      <c r="F32" s="5"/>
      <c r="G32" s="5"/>
      <c r="H32" s="5"/>
      <c r="I32" s="26"/>
      <c r="J32" s="18"/>
      <c r="K32" s="18"/>
      <c r="L32" s="18"/>
      <c r="M32" s="18"/>
      <c r="N32" s="5"/>
    </row>
    <row r="33" spans="1:14" ht="48" customHeight="1" x14ac:dyDescent="0.25">
      <c r="A33" s="6"/>
      <c r="B33" s="5"/>
      <c r="C33" s="5"/>
      <c r="D33" s="18"/>
      <c r="E33" s="18"/>
      <c r="F33" s="5"/>
      <c r="G33" s="5"/>
      <c r="H33" s="5"/>
      <c r="I33" s="26"/>
      <c r="J33" s="18"/>
      <c r="K33" s="18"/>
      <c r="L33" s="18"/>
      <c r="M33" s="18"/>
      <c r="N33" s="5"/>
    </row>
    <row r="34" spans="1:14" ht="48" customHeight="1" x14ac:dyDescent="0.25">
      <c r="A34" s="6"/>
      <c r="B34" s="5"/>
      <c r="C34" s="5"/>
      <c r="D34" s="18"/>
      <c r="E34" s="18"/>
      <c r="F34" s="5"/>
      <c r="G34" s="5"/>
      <c r="H34" s="5"/>
      <c r="I34" s="26"/>
      <c r="J34" s="18"/>
      <c r="K34" s="18"/>
      <c r="L34" s="18"/>
      <c r="M34" s="18"/>
      <c r="N34" s="5"/>
    </row>
    <row r="35" spans="1:14" ht="48" customHeight="1" x14ac:dyDescent="0.25">
      <c r="A35" s="6"/>
      <c r="B35" s="5"/>
      <c r="C35" s="5"/>
      <c r="D35" s="18"/>
      <c r="E35" s="18"/>
      <c r="F35" s="5"/>
      <c r="G35" s="5"/>
      <c r="H35" s="5"/>
      <c r="I35" s="26"/>
      <c r="J35" s="18"/>
      <c r="K35" s="18"/>
      <c r="L35" s="18"/>
      <c r="M35" s="18"/>
      <c r="N35" s="5"/>
    </row>
    <row r="36" spans="1:14" ht="48" customHeight="1" x14ac:dyDescent="0.25">
      <c r="A36" s="6"/>
      <c r="B36" s="5"/>
      <c r="C36" s="5"/>
      <c r="D36" s="18"/>
      <c r="E36" s="18"/>
      <c r="F36" s="5"/>
      <c r="G36" s="5"/>
      <c r="H36" s="5"/>
      <c r="I36" s="26"/>
      <c r="J36" s="18"/>
      <c r="K36" s="18"/>
      <c r="L36" s="18"/>
      <c r="M36" s="18"/>
      <c r="N36" s="5"/>
    </row>
    <row r="37" spans="1:14" ht="48" customHeight="1" x14ac:dyDescent="0.25">
      <c r="A37" s="6"/>
      <c r="B37" s="5"/>
      <c r="C37" s="5"/>
      <c r="D37" s="18"/>
      <c r="E37" s="18"/>
      <c r="F37" s="5"/>
      <c r="G37" s="5"/>
      <c r="H37" s="5"/>
      <c r="I37" s="26"/>
      <c r="J37" s="18"/>
      <c r="K37" s="18"/>
      <c r="L37" s="18"/>
      <c r="M37" s="18"/>
      <c r="N37" s="5"/>
    </row>
    <row r="38" spans="1:14" ht="48" customHeight="1" x14ac:dyDescent="0.25">
      <c r="A38" s="6"/>
      <c r="B38" s="5"/>
      <c r="C38" s="5"/>
      <c r="D38" s="18"/>
      <c r="E38" s="18"/>
      <c r="F38" s="5"/>
      <c r="G38" s="5"/>
      <c r="H38" s="5"/>
      <c r="I38" s="26"/>
      <c r="J38" s="18"/>
      <c r="K38" s="18"/>
      <c r="L38" s="18"/>
      <c r="M38" s="18"/>
      <c r="N38" s="5"/>
    </row>
    <row r="39" spans="1:14" ht="48" customHeight="1" x14ac:dyDescent="0.25">
      <c r="A39" s="6"/>
      <c r="B39" s="5"/>
      <c r="C39" s="5"/>
      <c r="D39" s="18"/>
      <c r="E39" s="18"/>
      <c r="F39" s="5"/>
      <c r="G39" s="5"/>
      <c r="H39" s="5"/>
      <c r="I39" s="26"/>
      <c r="J39" s="18"/>
      <c r="K39" s="18"/>
      <c r="L39" s="18"/>
      <c r="M39" s="18"/>
      <c r="N39" s="5"/>
    </row>
    <row r="40" spans="1:14" ht="48" customHeight="1" x14ac:dyDescent="0.25">
      <c r="A40" s="6"/>
      <c r="B40" s="5"/>
      <c r="C40" s="5"/>
      <c r="D40" s="18"/>
      <c r="E40" s="18"/>
      <c r="F40" s="5"/>
      <c r="G40" s="5"/>
      <c r="H40" s="5"/>
      <c r="I40" s="26"/>
      <c r="J40" s="18"/>
      <c r="K40" s="18"/>
      <c r="L40" s="18"/>
      <c r="M40" s="18"/>
      <c r="N40" s="5"/>
    </row>
    <row r="41" spans="1:14" ht="48" customHeight="1" x14ac:dyDescent="0.25">
      <c r="A41" s="6"/>
      <c r="B41" s="5"/>
      <c r="C41" s="5"/>
      <c r="D41" s="18"/>
      <c r="E41" s="18"/>
      <c r="F41" s="5"/>
      <c r="G41" s="5"/>
      <c r="H41" s="5"/>
      <c r="I41" s="26"/>
      <c r="J41" s="18"/>
      <c r="K41" s="18"/>
      <c r="L41" s="18"/>
      <c r="M41" s="18"/>
      <c r="N41" s="5"/>
    </row>
    <row r="42" spans="1:14" ht="48" customHeight="1" x14ac:dyDescent="0.25">
      <c r="A42" s="6"/>
      <c r="B42" s="5"/>
      <c r="C42" s="5"/>
      <c r="D42" s="18"/>
      <c r="E42" s="18"/>
      <c r="F42" s="5"/>
      <c r="G42" s="5"/>
      <c r="H42" s="5"/>
      <c r="I42" s="26"/>
      <c r="J42" s="18"/>
      <c r="K42" s="18"/>
      <c r="L42" s="18"/>
      <c r="M42" s="18"/>
      <c r="N42" s="5"/>
    </row>
    <row r="43" spans="1:14" ht="48" customHeight="1" x14ac:dyDescent="0.25">
      <c r="A43" s="6"/>
      <c r="B43" s="5"/>
      <c r="C43" s="5"/>
      <c r="D43" s="18"/>
      <c r="E43" s="18"/>
      <c r="F43" s="5"/>
      <c r="G43" s="5"/>
      <c r="H43" s="5"/>
      <c r="I43" s="26"/>
      <c r="J43" s="18"/>
      <c r="K43" s="18"/>
      <c r="L43" s="18"/>
      <c r="M43" s="18"/>
      <c r="N43" s="5"/>
    </row>
    <row r="44" spans="1:14" ht="48" customHeight="1" x14ac:dyDescent="0.25">
      <c r="A44" s="6"/>
      <c r="B44" s="5"/>
      <c r="C44" s="5"/>
      <c r="D44" s="18"/>
      <c r="E44" s="18"/>
      <c r="F44" s="5"/>
      <c r="G44" s="5"/>
      <c r="H44" s="5"/>
      <c r="I44" s="26"/>
      <c r="J44" s="18"/>
      <c r="K44" s="18"/>
      <c r="L44" s="18"/>
      <c r="M44" s="18"/>
      <c r="N44" s="5"/>
    </row>
    <row r="45" spans="1:14" ht="48" customHeight="1" x14ac:dyDescent="0.25">
      <c r="A45" s="6"/>
      <c r="B45" s="5"/>
      <c r="C45" s="5"/>
      <c r="D45" s="18"/>
      <c r="E45" s="18"/>
      <c r="F45" s="5"/>
      <c r="G45" s="5"/>
      <c r="H45" s="5"/>
      <c r="I45" s="26"/>
      <c r="J45" s="18"/>
      <c r="K45" s="18"/>
      <c r="L45" s="18"/>
      <c r="M45" s="18"/>
      <c r="N45" s="5"/>
    </row>
    <row r="46" spans="1:14" ht="48" customHeight="1" x14ac:dyDescent="0.25">
      <c r="A46" s="6"/>
      <c r="B46" s="5"/>
      <c r="C46" s="5"/>
      <c r="D46" s="18"/>
      <c r="E46" s="18"/>
      <c r="F46" s="5"/>
      <c r="G46" s="5"/>
      <c r="H46" s="5"/>
      <c r="I46" s="26"/>
      <c r="J46" s="18"/>
      <c r="K46" s="18"/>
      <c r="L46" s="18"/>
      <c r="M46" s="18"/>
      <c r="N46" s="5"/>
    </row>
    <row r="47" spans="1:14" ht="48" customHeight="1" x14ac:dyDescent="0.25">
      <c r="A47" s="6"/>
      <c r="B47" s="5"/>
      <c r="C47" s="5"/>
      <c r="D47" s="18"/>
      <c r="E47" s="18"/>
      <c r="F47" s="5"/>
      <c r="G47" s="5"/>
      <c r="H47" s="5"/>
      <c r="I47" s="26"/>
      <c r="J47" s="18"/>
      <c r="K47" s="18"/>
      <c r="L47" s="18"/>
      <c r="M47" s="18"/>
      <c r="N47" s="5"/>
    </row>
    <row r="48" spans="1:14" ht="48" customHeight="1" x14ac:dyDescent="0.25">
      <c r="A48" s="6"/>
      <c r="B48" s="5"/>
      <c r="C48" s="5"/>
      <c r="D48" s="18"/>
      <c r="E48" s="18"/>
      <c r="F48" s="5"/>
      <c r="G48" s="5"/>
      <c r="H48" s="5"/>
      <c r="I48" s="26"/>
      <c r="J48" s="18"/>
      <c r="K48" s="18"/>
      <c r="L48" s="18"/>
      <c r="M48" s="18"/>
      <c r="N48" s="5"/>
    </row>
    <row r="49" spans="1:14" ht="48" customHeight="1" x14ac:dyDescent="0.25">
      <c r="A49" s="6"/>
      <c r="B49" s="5"/>
      <c r="C49" s="5"/>
      <c r="D49" s="18"/>
      <c r="E49" s="18"/>
      <c r="F49" s="5"/>
      <c r="G49" s="5"/>
      <c r="H49" s="5"/>
      <c r="I49" s="26"/>
      <c r="J49" s="18"/>
      <c r="K49" s="18"/>
      <c r="L49" s="18"/>
      <c r="M49" s="18"/>
      <c r="N49" s="5"/>
    </row>
    <row r="50" spans="1:14" ht="48" customHeight="1" x14ac:dyDescent="0.25">
      <c r="A50" s="6"/>
      <c r="B50" s="5"/>
      <c r="C50" s="5"/>
      <c r="D50" s="18"/>
      <c r="E50" s="18"/>
      <c r="F50" s="5"/>
      <c r="G50" s="5"/>
      <c r="H50" s="5"/>
      <c r="I50" s="26"/>
      <c r="J50" s="18"/>
      <c r="K50" s="18"/>
      <c r="L50" s="18"/>
      <c r="M50" s="18"/>
      <c r="N50" s="5"/>
    </row>
    <row r="51" spans="1:14" x14ac:dyDescent="0.25">
      <c r="B51" s="2"/>
      <c r="C51" s="5"/>
      <c r="D51" s="2"/>
      <c r="E51" s="2"/>
      <c r="F51" s="2"/>
      <c r="G51" s="2"/>
      <c r="H51" s="2"/>
      <c r="I51" s="2"/>
      <c r="J51" s="5"/>
      <c r="K51" s="2"/>
      <c r="L51" s="2"/>
      <c r="M51" s="2"/>
      <c r="N51" s="2"/>
    </row>
    <row r="52" spans="1:14" x14ac:dyDescent="0.25">
      <c r="A52">
        <f>COUNTA(A3:A50)</f>
        <v>0</v>
      </c>
    </row>
  </sheetData>
  <autoFilter ref="A1:O5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1">
    <mergeCell ref="A1:N1"/>
  </mergeCells>
  <pageMargins left="0.7" right="0.7" top="0.75" bottom="0.75" header="0.3" footer="0.3"/>
  <pageSetup scale="45" fitToHeight="0" orientation="landscape" horizontalDpi="200" verticalDpi="200"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Resources!$A$3:$A$9</xm:f>
          </x14:formula1>
          <xm:sqref>G3:G59</xm:sqref>
        </x14:dataValidation>
        <x14:dataValidation type="list" allowBlank="1" showInputMessage="1" showErrorMessage="1" xr:uid="{00000000-0002-0000-0000-000001000000}">
          <x14:formula1>
            <xm:f>Resources!$C$3:$C$5</xm:f>
          </x14:formula1>
          <xm:sqref>H4:H51</xm:sqref>
        </x14:dataValidation>
        <x14:dataValidation type="list" allowBlank="1" showInputMessage="1" showErrorMessage="1" xr:uid="{00000000-0002-0000-0000-000002000000}">
          <x14:formula1>
            <xm:f>Resources!$E$3:$E$12</xm:f>
          </x14:formula1>
          <xm:sqref>I51</xm:sqref>
        </x14:dataValidation>
        <x14:dataValidation type="list" allowBlank="1" showInputMessage="1" showErrorMessage="1" xr:uid="{00000000-0002-0000-0000-000003000000}">
          <x14:formula1>
            <xm:f>Resources!$G$3:$G$13</xm:f>
          </x14:formula1>
          <xm:sqref>E51</xm:sqref>
        </x14:dataValidation>
        <x14:dataValidation type="list" allowBlank="1" showInputMessage="1" showErrorMessage="1" xr:uid="{00000000-0002-0000-0000-000005000000}">
          <x14:formula1>
            <xm:f>Resources!$L$3:$L$4</xm:f>
          </x14:formula1>
          <xm:sqref>F51 K51</xm:sqref>
        </x14:dataValidation>
        <x14:dataValidation type="list" allowBlank="1" showInputMessage="1" showErrorMessage="1" xr:uid="{00000000-0002-0000-0000-000006000000}">
          <x14:formula1>
            <xm:f>Resources!$N$3:$N$9</xm:f>
          </x14:formula1>
          <xm:sqref>L51</xm:sqref>
        </x14:dataValidation>
        <x14:dataValidation type="list" allowBlank="1" showInputMessage="1" showErrorMessage="1" xr:uid="{00000000-0002-0000-0000-000007000000}">
          <x14:formula1>
            <xm:f>Resources!$P$3:$P$5</xm:f>
          </x14:formula1>
          <xm:sqref>M51</xm:sqref>
        </x14:dataValidation>
        <x14:dataValidation type="list" allowBlank="1" showInputMessage="1" showErrorMessage="1" xr:uid="{00000000-0002-0000-0000-000008000000}">
          <x14:formula1>
            <xm:f>Resources!$R$3:$R$7</xm:f>
          </x14:formula1>
          <xm:sqref>C51:D51</xm:sqref>
        </x14:dataValidation>
        <x14:dataValidation type="list" allowBlank="1" showInputMessage="1" showErrorMessage="1" xr:uid="{61BA1752-7F78-4B58-9AB2-727AB83372DD}">
          <x14:formula1>
            <xm:f>Resources!$B$3:$B$12</xm:f>
          </x14:formula1>
          <xm:sqref>C3:C50</xm:sqref>
        </x14:dataValidation>
        <x14:dataValidation type="list" allowBlank="1" showInputMessage="1" showErrorMessage="1" xr:uid="{8CE35EF2-DDAE-4183-80F9-C3DAC7B659C0}">
          <x14:formula1>
            <xm:f>Resources!$C$3:$C$8</xm:f>
          </x14:formula1>
          <xm:sqref>H3</xm:sqref>
        </x14:dataValidation>
        <x14:dataValidation type="list" allowBlank="1" showInputMessage="1" showErrorMessage="1" xr:uid="{CC5BC448-CEE0-4BF3-866C-698589C096FA}">
          <x14:formula1>
            <xm:f>Resources!$L$3:$L$9</xm:f>
          </x14:formula1>
          <xm:sqref>F3:F50</xm:sqref>
        </x14:dataValidation>
        <x14:dataValidation type="list" allowBlank="1" showInputMessage="1" showErrorMessage="1" xr:uid="{C7A9BDFD-ECDF-4D09-9159-B510D8210C54}">
          <x14:formula1>
            <xm:f>Resources!$E$3:$E$7</xm:f>
          </x14:formula1>
          <xm:sqref>I3:I50</xm:sqref>
        </x14:dataValidation>
        <x14:dataValidation type="list" allowBlank="1" showInputMessage="1" showErrorMessage="1" xr:uid="{98D8531E-3F0C-4EA5-8959-F43B049AEB81}">
          <x14:formula1>
            <xm:f>Resources!$P$3:$P$7</xm:f>
          </x14:formula1>
          <xm:sqref>M3:M50</xm:sqref>
        </x14:dataValidation>
        <x14:dataValidation type="list" allowBlank="1" showInputMessage="1" showErrorMessage="1" xr:uid="{CA8A2E67-9CC4-43C0-8310-16C7C83A6E5B}">
          <x14:formula1>
            <xm:f>Resources!$I$3:$I$28</xm:f>
          </x14:formula1>
          <xm:sqref>J3:J51</xm:sqref>
        </x14:dataValidation>
        <x14:dataValidation type="list" allowBlank="1" showInputMessage="1" showErrorMessage="1" xr:uid="{A5190C59-5416-4F9E-B924-42C8BF9BD257}">
          <x14:formula1>
            <xm:f>Resources!$D$3:$D$26</xm:f>
          </x14:formula1>
          <xm:sqref>D3:D50</xm:sqref>
        </x14:dataValidation>
        <x14:dataValidation type="list" allowBlank="1" showInputMessage="1" showErrorMessage="1" xr:uid="{B04693DB-6EF7-40D3-9BF0-5067A672344B}">
          <x14:formula1>
            <xm:f>Resources!$G$3:$G$26</xm:f>
          </x14:formula1>
          <xm:sqref>E3:E50</xm:sqref>
        </x14:dataValidation>
        <x14:dataValidation type="list" allowBlank="1" showInputMessage="1" showErrorMessage="1" xr:uid="{1B4E80D0-CD55-4E70-AF00-7C5F4CAEDC26}">
          <x14:formula1>
            <xm:f>Resources!$T$3:$T$26</xm:f>
          </x14:formula1>
          <xm:sqref>K3:K50</xm:sqref>
        </x14:dataValidation>
        <x14:dataValidation type="list" allowBlank="1" showInputMessage="1" showErrorMessage="1" xr:uid="{BB1A177A-E25B-4547-AAD4-294901A36357}">
          <x14:formula1>
            <xm:f>Resources!$N$3:$N$15</xm:f>
          </x14:formula1>
          <xm:sqref>L3:L50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5"/>
  <sheetViews>
    <sheetView topLeftCell="A99" workbookViewId="0">
      <selection activeCell="C113" sqref="C113"/>
    </sheetView>
  </sheetViews>
  <sheetFormatPr defaultRowHeight="15" x14ac:dyDescent="0.25"/>
  <cols>
    <col min="1" max="1" width="21.42578125" customWidth="1"/>
    <col min="2" max="2" width="11" customWidth="1"/>
    <col min="3" max="3" width="10.85546875" customWidth="1"/>
    <col min="5" max="5" width="7.85546875" customWidth="1"/>
    <col min="6" max="6" width="15.5703125" customWidth="1"/>
    <col min="11" max="11" width="15.42578125" customWidth="1"/>
    <col min="21" max="35" width="0" hidden="1" customWidth="1"/>
  </cols>
  <sheetData>
    <row r="1" spans="1:23" ht="30" hidden="1" customHeight="1" x14ac:dyDescent="0.25">
      <c r="A1" s="20" t="s">
        <v>14</v>
      </c>
      <c r="B1" s="6">
        <f>'Readmissions Data Sheet Master'!$A$52</f>
        <v>0</v>
      </c>
    </row>
    <row r="2" spans="1:23" ht="41.45" hidden="1" customHeight="1" x14ac:dyDescent="0.25">
      <c r="A2" s="20" t="s">
        <v>15</v>
      </c>
      <c r="B2" s="6">
        <f>'Readmissions Data Sheet Master'!$O$3</f>
        <v>0</v>
      </c>
    </row>
    <row r="3" spans="1:23" ht="47.45" hidden="1" customHeight="1" x14ac:dyDescent="0.25">
      <c r="A3" s="20" t="s">
        <v>16</v>
      </c>
      <c r="B3" s="29" t="e">
        <f>SUM(B1*1000)/B2</f>
        <v>#DIV/0!</v>
      </c>
    </row>
    <row r="4" spans="1:23" ht="20.100000000000001" customHeight="1" x14ac:dyDescent="0.25">
      <c r="C4" s="27"/>
    </row>
    <row r="5" spans="1:23" ht="20.100000000000001" customHeight="1" x14ac:dyDescent="0.25"/>
    <row r="6" spans="1:23" ht="20.100000000000001" customHeight="1" x14ac:dyDescent="0.25">
      <c r="A6" s="51" t="s">
        <v>17</v>
      </c>
      <c r="B6" s="52"/>
      <c r="C6" s="53"/>
      <c r="N6" s="49"/>
      <c r="O6" s="49"/>
      <c r="P6" s="49"/>
      <c r="U6" s="50" t="s">
        <v>18</v>
      </c>
      <c r="V6" s="50"/>
      <c r="W6" s="50"/>
    </row>
    <row r="7" spans="1:23" ht="20.100000000000001" customHeight="1" x14ac:dyDescent="0.25">
      <c r="A7" s="3" t="s">
        <v>19</v>
      </c>
      <c r="B7" s="4" t="s">
        <v>20</v>
      </c>
      <c r="C7" s="4" t="s">
        <v>21</v>
      </c>
      <c r="N7" s="36"/>
      <c r="O7" s="36"/>
      <c r="P7" s="36"/>
      <c r="U7" s="15" t="s">
        <v>18</v>
      </c>
      <c r="V7" s="15" t="s">
        <v>22</v>
      </c>
      <c r="W7" s="15" t="s">
        <v>23</v>
      </c>
    </row>
    <row r="8" spans="1:23" ht="20.100000000000001" customHeight="1" x14ac:dyDescent="0.25">
      <c r="A8" s="5" t="s">
        <v>24</v>
      </c>
      <c r="B8" s="5">
        <f>COUNTIF('Readmissions Data Sheet Master'!G3:G51,"Sun")</f>
        <v>0</v>
      </c>
      <c r="C8" s="8" t="e">
        <f>SUM(B8/B15)</f>
        <v>#DIV/0!</v>
      </c>
      <c r="N8" s="36"/>
      <c r="O8" s="36"/>
      <c r="P8" s="37"/>
      <c r="U8" s="5">
        <f>Resources!$B$3</f>
        <v>0</v>
      </c>
      <c r="V8" s="5">
        <f>COUNTIF('Readmissions Data Sheet Master'!J3:J51,"100")</f>
        <v>0</v>
      </c>
      <c r="W8" s="8" t="e">
        <f>SUM(V8/V19)</f>
        <v>#DIV/0!</v>
      </c>
    </row>
    <row r="9" spans="1:23" ht="20.100000000000001" customHeight="1" x14ac:dyDescent="0.25">
      <c r="A9" s="5" t="s">
        <v>25</v>
      </c>
      <c r="B9" s="5">
        <f>COUNTIF('Readmissions Data Sheet Master'!G3:G51,"Mon")</f>
        <v>0</v>
      </c>
      <c r="C9" s="8" t="e">
        <f>SUM(B9/B15)</f>
        <v>#DIV/0!</v>
      </c>
      <c r="N9" s="36"/>
      <c r="O9" s="36"/>
      <c r="P9" s="37"/>
      <c r="U9" s="5" t="str">
        <f>Resources!$B$4</f>
        <v>North</v>
      </c>
      <c r="V9" s="5">
        <f>COUNTIF('Readmissions Data Sheet Master'!J3:J52,"200")</f>
        <v>0</v>
      </c>
      <c r="W9" s="8" t="e">
        <f>SUM(V9/V20)</f>
        <v>#DIV/0!</v>
      </c>
    </row>
    <row r="10" spans="1:23" ht="20.100000000000001" customHeight="1" x14ac:dyDescent="0.25">
      <c r="A10" s="5" t="s">
        <v>26</v>
      </c>
      <c r="B10" s="5">
        <f>COUNTIF('Readmissions Data Sheet Master'!G3:G51,"Tues")</f>
        <v>0</v>
      </c>
      <c r="C10" s="8" t="e">
        <f>SUM(B10/B15)</f>
        <v>#DIV/0!</v>
      </c>
      <c r="N10" s="36"/>
      <c r="O10" s="36"/>
      <c r="P10" s="37"/>
      <c r="U10" s="5" t="str">
        <f>Resources!$B$5</f>
        <v>South</v>
      </c>
      <c r="V10" s="5">
        <f>COUNTIF('Readmissions Data Sheet Master'!J3:J53,"300")</f>
        <v>0</v>
      </c>
      <c r="W10" s="8" t="e">
        <f>SUM(V10/V20)</f>
        <v>#DIV/0!</v>
      </c>
    </row>
    <row r="11" spans="1:23" ht="20.100000000000001" customHeight="1" x14ac:dyDescent="0.25">
      <c r="A11" s="5" t="s">
        <v>27</v>
      </c>
      <c r="B11" s="5">
        <f>COUNTIF('Readmissions Data Sheet Master'!G3:G51,"Wed")</f>
        <v>0</v>
      </c>
      <c r="C11" s="8" t="e">
        <f>SUM(B11/B15)</f>
        <v>#DIV/0!</v>
      </c>
      <c r="N11" s="36"/>
      <c r="O11" s="36"/>
      <c r="P11" s="37"/>
      <c r="U11" s="5">
        <f>Resources!$B$6</f>
        <v>0</v>
      </c>
      <c r="V11" s="5">
        <f>COUNTIF('Readmissions Data Sheet Master'!J3:J54,"400")</f>
        <v>0</v>
      </c>
      <c r="W11" s="8" t="e">
        <f>SUM(V11/V20)</f>
        <v>#DIV/0!</v>
      </c>
    </row>
    <row r="12" spans="1:23" ht="20.100000000000001" customHeight="1" x14ac:dyDescent="0.25">
      <c r="A12" s="5" t="s">
        <v>28</v>
      </c>
      <c r="B12" s="5">
        <f>COUNTIF('Readmissions Data Sheet Master'!G3:G51,"Thur")</f>
        <v>0</v>
      </c>
      <c r="C12" s="8" t="e">
        <f>SUM(B12/B15)</f>
        <v>#DIV/0!</v>
      </c>
      <c r="N12" s="36"/>
      <c r="O12" s="36"/>
      <c r="P12" s="37"/>
      <c r="U12" s="5">
        <f>Resources!$B$7</f>
        <v>0</v>
      </c>
      <c r="V12" s="5">
        <f>COUNTIF('Readmissions Data Sheet Master'!J3:J55,"400")</f>
        <v>0</v>
      </c>
      <c r="W12" s="8" t="e">
        <f>SUM(V12/V20)</f>
        <v>#DIV/0!</v>
      </c>
    </row>
    <row r="13" spans="1:23" ht="20.100000000000001" customHeight="1" x14ac:dyDescent="0.25">
      <c r="A13" s="5" t="s">
        <v>29</v>
      </c>
      <c r="B13" s="5">
        <f>COUNTIF('Readmissions Data Sheet Master'!G3:G51,"Fri")</f>
        <v>0</v>
      </c>
      <c r="C13" s="8" t="e">
        <f>SUM(B13/B15)</f>
        <v>#DIV/0!</v>
      </c>
      <c r="N13" s="38"/>
      <c r="O13" s="36"/>
      <c r="P13" s="37"/>
      <c r="U13" s="18">
        <f>Resources!$B$8</f>
        <v>0</v>
      </c>
      <c r="V13" s="5">
        <f>COUNTIF('Readmissions Data Sheet Master'!J7:J56,"100")</f>
        <v>0</v>
      </c>
      <c r="W13" s="8" t="e">
        <f>SUM(V13/V20)</f>
        <v>#DIV/0!</v>
      </c>
    </row>
    <row r="14" spans="1:23" ht="20.100000000000001" customHeight="1" x14ac:dyDescent="0.25">
      <c r="A14" s="5" t="s">
        <v>30</v>
      </c>
      <c r="B14" s="5">
        <f>COUNTIF('Readmissions Data Sheet Master'!G3:G51,"Sat")</f>
        <v>0</v>
      </c>
      <c r="C14" s="8" t="e">
        <f>SUM(B14/B15)</f>
        <v>#DIV/0!</v>
      </c>
      <c r="N14" s="36"/>
      <c r="O14" s="36"/>
      <c r="P14" s="37"/>
      <c r="U14" s="5">
        <f>Resources!$B$9</f>
        <v>0</v>
      </c>
      <c r="V14" s="5">
        <f>COUNTIF('Readmissions Data Sheet Master'!J3:J57,"100")</f>
        <v>0</v>
      </c>
      <c r="W14" s="8" t="e">
        <f>SUM(V14/V20)</f>
        <v>#DIV/0!</v>
      </c>
    </row>
    <row r="15" spans="1:23" ht="20.100000000000001" customHeight="1" x14ac:dyDescent="0.25">
      <c r="A15" s="3" t="s">
        <v>31</v>
      </c>
      <c r="B15" s="3">
        <f>SUM(B8:B14)</f>
        <v>0</v>
      </c>
      <c r="C15" s="9" t="e">
        <f>SUM(C8:C14)</f>
        <v>#DIV/0!</v>
      </c>
      <c r="N15" s="36"/>
      <c r="O15" s="36"/>
      <c r="P15" s="37"/>
      <c r="U15" s="5">
        <f>Resources!$B$10</f>
        <v>0</v>
      </c>
      <c r="V15" s="5">
        <f>COUNTIF('Readmissions Data Sheet Master'!J3:J58,"100")</f>
        <v>0</v>
      </c>
      <c r="W15" s="8" t="e">
        <f>SUM(V15/V20)</f>
        <v>#DIV/0!</v>
      </c>
    </row>
    <row r="16" spans="1:23" ht="20.100000000000001" customHeight="1" x14ac:dyDescent="0.25">
      <c r="A16" s="2"/>
      <c r="B16" s="2"/>
      <c r="C16" s="2"/>
      <c r="N16" s="36"/>
      <c r="O16" s="36"/>
      <c r="P16" s="37"/>
      <c r="U16" s="5">
        <f>Resources!$B$11</f>
        <v>0</v>
      </c>
      <c r="V16" s="5">
        <f>COUNTIF('Readmissions Data Sheet Master'!J3:J59,"100")</f>
        <v>0</v>
      </c>
      <c r="W16" s="8" t="e">
        <f>SUM(V16/V20)</f>
        <v>#DIV/0!</v>
      </c>
    </row>
    <row r="17" spans="1:23" ht="20.100000000000001" customHeight="1" x14ac:dyDescent="0.25">
      <c r="A17" s="54" t="s">
        <v>32</v>
      </c>
      <c r="B17" s="54"/>
      <c r="C17" s="54"/>
      <c r="N17" s="36"/>
      <c r="O17" s="36"/>
      <c r="P17" s="37"/>
      <c r="U17" s="5">
        <f>Resources!$B$12</f>
        <v>0</v>
      </c>
      <c r="V17" s="5">
        <f>COUNTIF('Readmissions Data Sheet Master'!J3:J60,"100")</f>
        <v>0</v>
      </c>
      <c r="W17" s="8" t="e">
        <f>SUM(V17/V20)</f>
        <v>#DIV/0!</v>
      </c>
    </row>
    <row r="18" spans="1:23" ht="20.100000000000001" customHeight="1" x14ac:dyDescent="0.25">
      <c r="A18" s="3" t="s">
        <v>33</v>
      </c>
      <c r="B18" s="3" t="s">
        <v>34</v>
      </c>
      <c r="C18" s="3" t="s">
        <v>35</v>
      </c>
      <c r="N18" s="36"/>
      <c r="O18" s="36"/>
      <c r="P18" s="37"/>
      <c r="U18" s="5">
        <f>Resources!$B$13</f>
        <v>0</v>
      </c>
      <c r="V18" s="5">
        <f>COUNTIF('Readmissions Data Sheet Master'!J3:J61,"100")</f>
        <v>0</v>
      </c>
      <c r="W18" s="8" t="e">
        <f>SUM(V18/V20)</f>
        <v>#DIV/0!</v>
      </c>
    </row>
    <row r="19" spans="1:23" ht="20.100000000000001" customHeight="1" x14ac:dyDescent="0.25">
      <c r="A19" s="5" t="s">
        <v>36</v>
      </c>
      <c r="B19" s="5">
        <f>COUNTIF('Readmissions Data Sheet Master'!H3:H51,"1")</f>
        <v>0</v>
      </c>
      <c r="C19" s="8" t="e">
        <f>SUM(B19/B22)</f>
        <v>#DIV/0!</v>
      </c>
      <c r="N19" s="36"/>
      <c r="O19" s="36"/>
      <c r="P19" s="37"/>
      <c r="U19" s="5">
        <f>Resources!$B$14</f>
        <v>0</v>
      </c>
      <c r="V19" s="5">
        <f>COUNTIF('Readmissions Data Sheet Master'!J3:J62,"100")</f>
        <v>0</v>
      </c>
      <c r="W19" s="8" t="e">
        <f>SUM(V19/V20)</f>
        <v>#DIV/0!</v>
      </c>
    </row>
    <row r="20" spans="1:23" ht="20.100000000000001" customHeight="1" x14ac:dyDescent="0.25">
      <c r="A20" s="5" t="s">
        <v>37</v>
      </c>
      <c r="B20" s="5">
        <f>COUNTIF('Readmissions Data Sheet Master'!H3:H51,"2")</f>
        <v>0</v>
      </c>
      <c r="C20" s="8" t="e">
        <f>SUM(B20/B22)</f>
        <v>#DIV/0!</v>
      </c>
      <c r="N20" s="39"/>
      <c r="O20" s="39"/>
      <c r="P20" s="40"/>
      <c r="U20" s="16" t="s">
        <v>31</v>
      </c>
      <c r="V20" s="16">
        <f>SUM(V8:V19)</f>
        <v>0</v>
      </c>
      <c r="W20" s="17" t="e">
        <f>SUM(W8:W19)</f>
        <v>#DIV/0!</v>
      </c>
    </row>
    <row r="21" spans="1:23" ht="20.100000000000001" customHeight="1" x14ac:dyDescent="0.25">
      <c r="A21" s="5" t="s">
        <v>38</v>
      </c>
      <c r="B21" s="5">
        <f>COUNTIF('Readmissions Data Sheet Master'!H3:H51,"3")</f>
        <v>0</v>
      </c>
      <c r="C21" s="8" t="e">
        <f>SUM(B21/B22)</f>
        <v>#DIV/0!</v>
      </c>
    </row>
    <row r="22" spans="1:23" ht="20.100000000000001" customHeight="1" x14ac:dyDescent="0.25">
      <c r="A22" s="3" t="s">
        <v>31</v>
      </c>
      <c r="B22" s="3">
        <f>SUM(B19:B21)</f>
        <v>0</v>
      </c>
      <c r="C22" s="10" t="e">
        <f>SUM(C19:C21)</f>
        <v>#DIV/0!</v>
      </c>
    </row>
    <row r="23" spans="1:23" ht="20.100000000000001" customHeight="1" x14ac:dyDescent="0.25"/>
    <row r="24" spans="1:23" ht="20.100000000000001" customHeight="1" x14ac:dyDescent="0.25"/>
    <row r="25" spans="1:23" ht="20.100000000000001" customHeight="1" x14ac:dyDescent="0.25"/>
    <row r="26" spans="1:23" ht="20.100000000000001" customHeight="1" x14ac:dyDescent="0.25">
      <c r="A26" s="51" t="s">
        <v>39</v>
      </c>
      <c r="B26" s="52"/>
      <c r="C26" s="53"/>
    </row>
    <row r="27" spans="1:23" ht="20.100000000000001" customHeight="1" x14ac:dyDescent="0.25">
      <c r="A27" s="11" t="s">
        <v>40</v>
      </c>
      <c r="B27" s="11" t="s">
        <v>41</v>
      </c>
      <c r="C27" s="11" t="s">
        <v>42</v>
      </c>
    </row>
    <row r="28" spans="1:23" ht="20.100000000000001" customHeight="1" x14ac:dyDescent="0.25">
      <c r="A28" s="5" t="s">
        <v>43</v>
      </c>
      <c r="B28" s="6">
        <f>COUNTIF('Readmissions Data Sheet Master'!I3:I51,"Morning ")</f>
        <v>0</v>
      </c>
      <c r="C28" s="7" t="e">
        <f>SUM(B28/B32)</f>
        <v>#DIV/0!</v>
      </c>
    </row>
    <row r="29" spans="1:23" ht="20.100000000000001" customHeight="1" x14ac:dyDescent="0.25">
      <c r="A29" s="5" t="s">
        <v>44</v>
      </c>
      <c r="B29" s="6">
        <f>COUNTIF('Readmissions Data Sheet Master'!I3:I51,"Afternoon")</f>
        <v>0</v>
      </c>
      <c r="C29" s="7" t="e">
        <f>SUM(B29/B32)</f>
        <v>#DIV/0!</v>
      </c>
    </row>
    <row r="30" spans="1:23" ht="20.100000000000001" customHeight="1" x14ac:dyDescent="0.25">
      <c r="A30" s="5" t="s">
        <v>45</v>
      </c>
      <c r="B30" s="6">
        <f>COUNTIF('Readmissions Data Sheet Master'!I3:I51,"Evening")</f>
        <v>0</v>
      </c>
      <c r="C30" s="7" t="e">
        <f>SUM(B30/B32)</f>
        <v>#DIV/0!</v>
      </c>
    </row>
    <row r="31" spans="1:23" ht="20.100000000000001" customHeight="1" x14ac:dyDescent="0.25">
      <c r="A31" s="5" t="s">
        <v>46</v>
      </c>
      <c r="B31" s="6">
        <f>COUNTIF('Readmissions Data Sheet Master'!I3:I51,"Night")</f>
        <v>0</v>
      </c>
      <c r="C31" s="7" t="e">
        <f>SUM(B31/B32)</f>
        <v>#DIV/0!</v>
      </c>
    </row>
    <row r="32" spans="1:23" ht="20.100000000000001" customHeight="1" x14ac:dyDescent="0.25">
      <c r="A32" s="35" t="s">
        <v>31</v>
      </c>
      <c r="B32" s="33">
        <f>SUM(B28:B31)</f>
        <v>0</v>
      </c>
      <c r="C32" s="34" t="e">
        <f>SUM(C28:C31)</f>
        <v>#DIV/0!</v>
      </c>
    </row>
    <row r="33" spans="1:3" ht="20.100000000000001" customHeight="1" x14ac:dyDescent="0.25"/>
    <row r="34" spans="1:3" ht="20.100000000000001" customHeight="1" x14ac:dyDescent="0.25"/>
    <row r="35" spans="1:3" ht="20.100000000000001" customHeight="1" x14ac:dyDescent="0.25"/>
    <row r="36" spans="1:3" ht="20.100000000000001" customHeight="1" x14ac:dyDescent="0.25"/>
    <row r="37" spans="1:3" ht="20.100000000000001" customHeight="1" x14ac:dyDescent="0.25"/>
    <row r="38" spans="1:3" ht="20.100000000000001" customHeight="1" x14ac:dyDescent="0.25"/>
    <row r="39" spans="1:3" ht="20.100000000000001" customHeight="1" x14ac:dyDescent="0.25">
      <c r="A39" s="55" t="s">
        <v>9</v>
      </c>
      <c r="B39" s="48"/>
      <c r="C39" s="48"/>
    </row>
    <row r="40" spans="1:3" ht="20.100000000000001" customHeight="1" x14ac:dyDescent="0.25">
      <c r="A40" s="15" t="s">
        <v>47</v>
      </c>
      <c r="B40" s="15" t="s">
        <v>48</v>
      </c>
      <c r="C40" s="15" t="s">
        <v>49</v>
      </c>
    </row>
    <row r="41" spans="1:3" ht="20.100000000000001" customHeight="1" x14ac:dyDescent="0.25">
      <c r="A41" s="5" t="str">
        <f>Resources!I3</f>
        <v>Abdominal pain</v>
      </c>
      <c r="B41" s="6">
        <f>COUNTIF('Readmissions Data Sheet Master'!J3:J51,"Abdominal pain")</f>
        <v>0</v>
      </c>
      <c r="C41" s="8" t="e">
        <f>SUM(B41/B68)</f>
        <v>#DIV/0!</v>
      </c>
    </row>
    <row r="42" spans="1:3" ht="20.100000000000001" customHeight="1" x14ac:dyDescent="0.25">
      <c r="A42" s="5" t="str">
        <f>Resources!I4</f>
        <v>Abnormal lab or test</v>
      </c>
      <c r="B42" s="6">
        <f>COUNTIF('Readmissions Data Sheet Master'!J3:J51,"Abnormal lab or test")</f>
        <v>0</v>
      </c>
      <c r="C42" s="8" t="e">
        <f>SUM(B42/B68)</f>
        <v>#DIV/0!</v>
      </c>
    </row>
    <row r="43" spans="1:3" ht="20.100000000000001" customHeight="1" x14ac:dyDescent="0.25">
      <c r="A43" s="5" t="str">
        <f>Resources!I5</f>
        <v>Abnormal vital signs</v>
      </c>
      <c r="B43" s="6">
        <f>COUNTIF('Readmissions Data Sheet Master'!J3:J51,"Abnormal Vital signs")</f>
        <v>0</v>
      </c>
      <c r="C43" s="8" t="e">
        <f>SUM(B43/B68)</f>
        <v>#DIV/0!</v>
      </c>
    </row>
    <row r="44" spans="1:3" ht="20.100000000000001" customHeight="1" x14ac:dyDescent="0.25">
      <c r="A44" s="5" t="str">
        <f>Resources!I6</f>
        <v>Altered mental status</v>
      </c>
      <c r="B44" s="6">
        <f>COUNTIF('Readmissions Data Sheet Master'!J3:J51,"Altered mental status")</f>
        <v>0</v>
      </c>
      <c r="C44" s="8" t="e">
        <f>SUM(B44/B68)</f>
        <v>#DIV/0!</v>
      </c>
    </row>
    <row r="45" spans="1:3" ht="20.100000000000001" customHeight="1" x14ac:dyDescent="0.25">
      <c r="A45" s="5" t="str">
        <f>Resources!I7</f>
        <v>Behavioral symptoms</v>
      </c>
      <c r="B45" s="6">
        <f>COUNTIF('Readmissions Data Sheet Master'!J3:J51,"Behavioral symptoms")</f>
        <v>0</v>
      </c>
      <c r="C45" s="8" t="e">
        <f>SUM(B45/B68)</f>
        <v>#DIV/0!</v>
      </c>
    </row>
    <row r="46" spans="1:3" ht="20.100000000000001" customHeight="1" x14ac:dyDescent="0.25">
      <c r="A46" s="5" t="str">
        <f>Resources!I8</f>
        <v>Bleeding, other than GI</v>
      </c>
      <c r="B46" s="6">
        <f>COUNTIF('Readmissions Data Sheet Master'!J3:J51,"Bleeding, other than GI")</f>
        <v>0</v>
      </c>
      <c r="C46" s="8" t="e">
        <f>SUM(B46/B68)</f>
        <v>#DIV/0!</v>
      </c>
    </row>
    <row r="47" spans="1:3" ht="20.100000000000001" customHeight="1" x14ac:dyDescent="0.25">
      <c r="A47" s="5" t="str">
        <f>Resources!I9</f>
        <v>Blood sugar (high/low)</v>
      </c>
      <c r="B47" s="6">
        <f>COUNTIF('Readmissions Data Sheet Master'!J3:J51,"Blood sugar (high/low)")</f>
        <v>0</v>
      </c>
      <c r="C47" s="8" t="e">
        <f>SUM(B47/B68)</f>
        <v>#DIV/0!</v>
      </c>
    </row>
    <row r="48" spans="1:3" ht="20.100000000000001" customHeight="1" x14ac:dyDescent="0.25">
      <c r="A48" s="5" t="str">
        <f>Resources!I10</f>
        <v>Chest pain</v>
      </c>
      <c r="B48" s="6">
        <f>COUNTIF('Readmissions Data Sheet Master'!J3:J51,"Chest pain")</f>
        <v>0</v>
      </c>
      <c r="C48" s="8" t="e">
        <f>SUM(B48/B68)</f>
        <v>#DIV/0!</v>
      </c>
    </row>
    <row r="49" spans="1:3" ht="20.100000000000001" customHeight="1" x14ac:dyDescent="0.25">
      <c r="A49" s="5" t="str">
        <f>Resources!I11</f>
        <v>Constipation</v>
      </c>
      <c r="B49" s="6">
        <f>COUNTIF('Readmissions Data Sheet Master'!J3:J51,"Constipation")</f>
        <v>0</v>
      </c>
      <c r="C49" s="8" t="e">
        <f>SUM(B49/B68)</f>
        <v>#DIV/0!</v>
      </c>
    </row>
    <row r="50" spans="1:3" ht="20.100000000000001" customHeight="1" x14ac:dyDescent="0.25">
      <c r="A50" s="5" t="str">
        <f>Resources!I12</f>
        <v>Diarrhea</v>
      </c>
      <c r="B50" s="6">
        <f>COUNTIF('Readmissions Data Sheet Master'!J3:J51,"Diarrhea")</f>
        <v>0</v>
      </c>
      <c r="C50" s="8" t="e">
        <f>SUM(B50/B68)</f>
        <v>#DIV/0!</v>
      </c>
    </row>
    <row r="51" spans="1:3" ht="20.100000000000001" customHeight="1" x14ac:dyDescent="0.25">
      <c r="A51" s="5" t="str">
        <f>Resources!I13</f>
        <v>Edema (new or worsening)</v>
      </c>
      <c r="B51" s="6">
        <f>COUNTIF('Readmissions Data Sheet Master'!J3:J51,"Edema (new or worsening)")</f>
        <v>0</v>
      </c>
      <c r="C51" s="8" t="e">
        <f>SUM(B51/B68)</f>
        <v>#DIV/0!</v>
      </c>
    </row>
    <row r="52" spans="1:3" ht="20.100000000000001" customHeight="1" x14ac:dyDescent="0.25">
      <c r="A52" s="5" t="str">
        <f>Resources!I14</f>
        <v>EKG abnormality</v>
      </c>
      <c r="B52" s="6">
        <f>COUNTIF('Readmissions Data Sheet Master'!J3:J51,"EKG abnormality")</f>
        <v>0</v>
      </c>
      <c r="C52" s="8" t="e">
        <f>SUM(B52/B68)</f>
        <v>#DIV/0!</v>
      </c>
    </row>
    <row r="53" spans="1:3" ht="20.100000000000001" customHeight="1" x14ac:dyDescent="0.25">
      <c r="A53" s="5" t="str">
        <f>Resources!I15</f>
        <v>Fall (s)</v>
      </c>
      <c r="B53" s="6">
        <f>COUNTIF('Readmissions Data Sheet Master'!J3:J51,"Fall (s)")</f>
        <v>0</v>
      </c>
      <c r="C53" s="8" t="e">
        <f>SUM(B53/B68)</f>
        <v>#DIV/0!</v>
      </c>
    </row>
    <row r="54" spans="1:3" ht="20.100000000000001" customHeight="1" x14ac:dyDescent="0.25">
      <c r="A54" s="5" t="str">
        <f>Resources!I16</f>
        <v>Fever</v>
      </c>
      <c r="B54" s="6">
        <f>COUNTIF('Readmissions Data Sheet Master'!J3:J51,"Fever")</f>
        <v>0</v>
      </c>
      <c r="C54" s="8" t="e">
        <f>SUM(B54/B68)</f>
        <v>#DIV/0!</v>
      </c>
    </row>
    <row r="55" spans="1:3" ht="20.100000000000001" customHeight="1" x14ac:dyDescent="0.25">
      <c r="A55" s="5" t="str">
        <f>Resources!I17</f>
        <v>Functional decline</v>
      </c>
      <c r="B55" s="6">
        <f>COUNTIF('Readmissions Data Sheet Master'!J3:J51,"Functional decline")</f>
        <v>0</v>
      </c>
      <c r="C55" s="8" t="e">
        <f>SUM(B55/B68)</f>
        <v>#DIV/0!</v>
      </c>
    </row>
    <row r="56" spans="1:3" ht="20.100000000000001" customHeight="1" x14ac:dyDescent="0.25">
      <c r="A56" s="5" t="str">
        <f>Resources!I18</f>
        <v>GI bleeding</v>
      </c>
      <c r="B56" s="6">
        <f>COUNTIF('Readmissions Data Sheet Master'!J3:J51,"GI bleeding")</f>
        <v>0</v>
      </c>
      <c r="C56" s="8" t="e">
        <f>SUM(B56/B68)</f>
        <v>#DIV/0!</v>
      </c>
    </row>
    <row r="57" spans="1:3" ht="20.100000000000001" customHeight="1" x14ac:dyDescent="0.25">
      <c r="A57" s="5" t="str">
        <f>Resources!I19</f>
        <v>Loss of consciousness</v>
      </c>
      <c r="B57" s="6">
        <f>COUNTIF('Readmissions Data Sheet Master'!J3:J51,"Loss of consciousness")</f>
        <v>0</v>
      </c>
      <c r="C57" s="8" t="e">
        <f>SUM(B57/B68)</f>
        <v>#DIV/0!</v>
      </c>
    </row>
    <row r="58" spans="1:3" ht="20.100000000000001" customHeight="1" x14ac:dyDescent="0.25">
      <c r="A58" s="5" t="str">
        <f>Resources!I20</f>
        <v>Nausea/vomitting</v>
      </c>
      <c r="B58" s="6">
        <f>COUNTIF('Readmissions Data Sheet Master'!J3:J51,"Nausea/vomitting")</f>
        <v>0</v>
      </c>
      <c r="C58" s="8" t="e">
        <f>SUM(B58/B68)</f>
        <v>#DIV/0!</v>
      </c>
    </row>
    <row r="59" spans="1:3" ht="20.100000000000001" customHeight="1" x14ac:dyDescent="0.25">
      <c r="A59" s="5" t="str">
        <f>Resources!I21</f>
        <v>Nutrition (inadequate intake food/fluid)</v>
      </c>
      <c r="B59" s="6">
        <f>COUNTIF('Readmissions Data Sheet Master'!J3:J51,"Nutrition (inadequate intake food/fluid)")</f>
        <v>0</v>
      </c>
      <c r="C59" s="8" t="e">
        <f>SUM(B59/B68)</f>
        <v>#DIV/0!</v>
      </c>
    </row>
    <row r="60" spans="1:3" ht="20.100000000000001" customHeight="1" x14ac:dyDescent="0.25">
      <c r="A60" s="5" t="str">
        <f>Resources!I22</f>
        <v>Pain (uncontrolled)</v>
      </c>
      <c r="B60" s="6">
        <f>COUNTIF('Readmissions Data Sheet Master'!J3:J51,"Pain (uncontrolled)")</f>
        <v>0</v>
      </c>
      <c r="C60" s="8" t="e">
        <f>SUM(B60/B68)</f>
        <v>#DIV/0!</v>
      </c>
    </row>
    <row r="61" spans="1:3" ht="20.100000000000001" customHeight="1" x14ac:dyDescent="0.25">
      <c r="A61" s="5" t="str">
        <f>Resources!I23</f>
        <v>Shortness of breath</v>
      </c>
      <c r="B61" s="6">
        <f>COUNTIF('Readmissions Data Sheet Master'!J3:J51,"Shortness of Breath")</f>
        <v>0</v>
      </c>
      <c r="C61" s="8" t="e">
        <f>SUM(B61/B68)</f>
        <v>#DIV/0!</v>
      </c>
    </row>
    <row r="62" spans="1:3" ht="20.100000000000001" customHeight="1" x14ac:dyDescent="0.25">
      <c r="A62" s="5" t="str">
        <f>Resources!I24</f>
        <v>Skin wound or ulcer</v>
      </c>
      <c r="B62" s="6">
        <f>COUNTIF('Readmissions Data Sheet Master'!J3:J51,"Skin wound or ulcer")</f>
        <v>0</v>
      </c>
      <c r="C62" s="8" t="e">
        <f>SUM(B62/B68)</f>
        <v>#DIV/0!</v>
      </c>
    </row>
    <row r="63" spans="1:3" ht="20.100000000000001" customHeight="1" x14ac:dyDescent="0.25">
      <c r="A63" s="5" t="str">
        <f>Resources!I25</f>
        <v>Trauma (fall related or other)</v>
      </c>
      <c r="B63" s="6">
        <f>COUNTIF('Readmissions Data Sheet Master'!J3:J51,"Trauma (fall related or other)")</f>
        <v>0</v>
      </c>
      <c r="C63" s="8" t="e">
        <f>SUM(B63/B68)</f>
        <v>#DIV/0!</v>
      </c>
    </row>
    <row r="64" spans="1:3" ht="20.100000000000001" customHeight="1" x14ac:dyDescent="0.25">
      <c r="A64" s="5" t="str">
        <f>Resources!I26</f>
        <v>Unresponsive</v>
      </c>
      <c r="B64" s="6">
        <f>COUNTIF('Readmissions Data Sheet Master'!J3:J51,"Unresponsive")</f>
        <v>0</v>
      </c>
      <c r="C64" s="8" t="e">
        <f>SUM(B64/B68)</f>
        <v>#DIV/0!</v>
      </c>
    </row>
    <row r="65" spans="1:3" ht="20.100000000000001" customHeight="1" x14ac:dyDescent="0.25">
      <c r="A65" s="5" t="s">
        <v>50</v>
      </c>
      <c r="B65" s="6">
        <f>COUNTIF('Readmissions Data Sheet Master'!J3:J51,"Urinary incontinence")</f>
        <v>0</v>
      </c>
      <c r="C65" s="8" t="e">
        <f>SUM(B65/B68)</f>
        <v>#DIV/0!</v>
      </c>
    </row>
    <row r="66" spans="1:3" ht="20.100000000000001" customHeight="1" x14ac:dyDescent="0.25">
      <c r="A66" s="5" t="s">
        <v>51</v>
      </c>
      <c r="B66" s="6">
        <f>COUNTIF('Readmissions Data Sheet Master'!J3:J51,"Weight loss")</f>
        <v>0</v>
      </c>
      <c r="C66" s="8" t="e">
        <f>SUM(B66/B68)</f>
        <v>#DIV/0!</v>
      </c>
    </row>
    <row r="67" spans="1:3" ht="20.100000000000001" customHeight="1" x14ac:dyDescent="0.25">
      <c r="A67" s="5" t="s">
        <v>52</v>
      </c>
      <c r="B67" s="6">
        <f>COUNTIF('Readmissions Data Sheet Master'!J3:J51,"Other sign/symptom")</f>
        <v>0</v>
      </c>
      <c r="C67" s="8" t="e">
        <f>SUM(B67/B68)</f>
        <v>#DIV/0!</v>
      </c>
    </row>
    <row r="68" spans="1:3" ht="20.100000000000001" customHeight="1" x14ac:dyDescent="0.25">
      <c r="A68" s="12" t="s">
        <v>31</v>
      </c>
      <c r="B68" s="13">
        <f>SUM(B41:B67)</f>
        <v>0</v>
      </c>
      <c r="C68" s="14" t="e">
        <f>SUM(C41:C67)</f>
        <v>#DIV/0!</v>
      </c>
    </row>
    <row r="69" spans="1:3" ht="20.100000000000001" customHeight="1" x14ac:dyDescent="0.25"/>
    <row r="70" spans="1:3" ht="20.100000000000001" customHeight="1" x14ac:dyDescent="0.25"/>
    <row r="71" spans="1:3" ht="20.100000000000001" customHeight="1" x14ac:dyDescent="0.25">
      <c r="A71" s="48" t="s">
        <v>53</v>
      </c>
      <c r="B71" s="48"/>
      <c r="C71" s="48"/>
    </row>
    <row r="72" spans="1:3" ht="20.100000000000001" customHeight="1" x14ac:dyDescent="0.25">
      <c r="A72" s="15" t="s">
        <v>54</v>
      </c>
      <c r="B72" s="15" t="s">
        <v>55</v>
      </c>
      <c r="C72" s="15" t="s">
        <v>56</v>
      </c>
    </row>
    <row r="73" spans="1:3" ht="20.100000000000001" customHeight="1" x14ac:dyDescent="0.25">
      <c r="A73" s="5" t="str">
        <f>Resources!T3</f>
        <v>Acute Renal failure</v>
      </c>
      <c r="B73" s="6">
        <f>COUNTIF('Readmissions Data Sheet Master'!K3:K51,"Acute Renal failure")</f>
        <v>0</v>
      </c>
      <c r="C73" s="8" t="e">
        <f>SUM(B73/B96)</f>
        <v>#DIV/0!</v>
      </c>
    </row>
    <row r="74" spans="1:3" ht="20.100000000000001" customHeight="1" x14ac:dyDescent="0.25">
      <c r="A74" s="5" t="str">
        <f>Resources!T4</f>
        <v>Anemia</v>
      </c>
      <c r="B74" s="6">
        <f>COUNTIF('Readmissions Data Sheet Master'!K3:K52,"Anemia")</f>
        <v>0</v>
      </c>
      <c r="C74" s="8" t="e">
        <f>SUM(B74/B96)</f>
        <v>#DIV/0!</v>
      </c>
    </row>
    <row r="75" spans="1:3" ht="20.100000000000001" customHeight="1" x14ac:dyDescent="0.25">
      <c r="A75" s="5" t="str">
        <f>Resources!T5</f>
        <v>C. Difficile</v>
      </c>
      <c r="B75" s="6">
        <f>COUNTIF('Readmissions Data Sheet Master'!K3:K53,"C. Difficile")</f>
        <v>0</v>
      </c>
      <c r="C75" s="8" t="e">
        <f>SUM(B75/B96)</f>
        <v>#DIV/0!</v>
      </c>
    </row>
    <row r="76" spans="1:3" ht="20.100000000000001" customHeight="1" x14ac:dyDescent="0.25">
      <c r="A76" s="5" t="str">
        <f>Resources!T6</f>
        <v>Cardiac arrest</v>
      </c>
      <c r="B76" s="6">
        <f>COUNTIF('Readmissions Data Sheet Master'!K3:K54,"Cardiac arrest")</f>
        <v>0</v>
      </c>
      <c r="C76" s="8" t="e">
        <f>SUM(B76/B96)</f>
        <v>#DIV/0!</v>
      </c>
    </row>
    <row r="77" spans="1:3" ht="20.100000000000001" customHeight="1" x14ac:dyDescent="0.25">
      <c r="A77" s="5" t="str">
        <f>Resources!T7</f>
        <v>Cellulitis</v>
      </c>
      <c r="B77" s="6">
        <f>COUNTIF('Readmissions Data Sheet Master'!K3:K55,"Cellulitis")</f>
        <v>0</v>
      </c>
      <c r="C77" s="8" t="e">
        <f>SUM(B77/B96)</f>
        <v>#DIV/0!</v>
      </c>
    </row>
    <row r="78" spans="1:3" ht="20.100000000000001" customHeight="1" x14ac:dyDescent="0.25">
      <c r="A78" s="5" t="str">
        <f>Resources!T8</f>
        <v>CHF</v>
      </c>
      <c r="B78" s="6">
        <f>COUNTIF('Readmissions Data Sheet Master'!K3:K56,"CHF")</f>
        <v>0</v>
      </c>
      <c r="C78" s="8" t="e">
        <f>SUM(B78/B96)</f>
        <v>#DIV/0!</v>
      </c>
    </row>
    <row r="79" spans="1:3" ht="20.100000000000001" customHeight="1" x14ac:dyDescent="0.25">
      <c r="A79" s="5" t="str">
        <f>Resources!T9</f>
        <v>COPD/Asthma</v>
      </c>
      <c r="B79" s="6">
        <f>COUNTIF('Readmissions Data Sheet Master'!K3:K57,"COPD/Asthma")</f>
        <v>0</v>
      </c>
      <c r="C79" s="8" t="e">
        <f>SUM(B79/B96)</f>
        <v>#DIV/0!</v>
      </c>
    </row>
    <row r="80" spans="1:3" ht="20.100000000000001" customHeight="1" x14ac:dyDescent="0.25">
      <c r="A80" s="5" t="str">
        <f>Resources!T10</f>
        <v>Dehydration</v>
      </c>
      <c r="B80" s="6">
        <f>COUNTIF('Readmissions Data Sheet Master'!K3:K58,"Dehydration")</f>
        <v>0</v>
      </c>
      <c r="C80" s="8" t="e">
        <f>SUM(B80/B96)</f>
        <v>#DIV/0!</v>
      </c>
    </row>
    <row r="81" spans="1:3" ht="20.100000000000001" customHeight="1" x14ac:dyDescent="0.25">
      <c r="A81" s="5" t="str">
        <f>Resources!T11</f>
        <v>DVT (deep vein thrombosis)</v>
      </c>
      <c r="B81" s="6">
        <f>COUNTIF('Readmissions Data Sheet Master'!K3:K59,"DVT (deep vein thrombosis)")</f>
        <v>0</v>
      </c>
      <c r="C81" s="8" t="e">
        <f>SUM(B81/B96)</f>
        <v>#DIV/0!</v>
      </c>
    </row>
    <row r="82" spans="1:3" ht="20.100000000000001" customHeight="1" x14ac:dyDescent="0.25">
      <c r="A82" s="5" t="str">
        <f>Resources!T12</f>
        <v>Failure to thrive</v>
      </c>
      <c r="B82" s="6">
        <f>COUNTIF('Readmissions Data Sheet Master'!K3:K60,"Failure to thrive")</f>
        <v>0</v>
      </c>
      <c r="C82" s="8" t="e">
        <f>SUM(B82/B96)</f>
        <v>#DIV/0!</v>
      </c>
    </row>
    <row r="83" spans="1:3" ht="20.100000000000001" customHeight="1" x14ac:dyDescent="0.25">
      <c r="A83" s="5" t="str">
        <f>Resources!T13</f>
        <v>Fracture</v>
      </c>
      <c r="B83" s="6">
        <f>COUNTIF('Readmissions Data Sheet Master'!K3:K61,"Fracture")</f>
        <v>0</v>
      </c>
      <c r="C83" s="8" t="e">
        <f>SUM(B83/B96)</f>
        <v>#DIV/0!</v>
      </c>
    </row>
    <row r="84" spans="1:3" ht="20.100000000000001" customHeight="1" x14ac:dyDescent="0.25">
      <c r="A84" s="5" t="str">
        <f>Resources!T14</f>
        <v>Gastroenteritis</v>
      </c>
      <c r="B84" s="6">
        <f>COUNTIF('Readmissions Data Sheet Master'!K3:K62,"Gastroenteritis")</f>
        <v>0</v>
      </c>
      <c r="C84" s="8" t="e">
        <f>SUM(B84/B96)</f>
        <v>#DIV/0!</v>
      </c>
    </row>
    <row r="85" spans="1:3" ht="20.100000000000001" customHeight="1" x14ac:dyDescent="0.25">
      <c r="A85" s="5" t="str">
        <f>Resources!T15</f>
        <v>Gastrostomy tube blocked/displaced</v>
      </c>
      <c r="B85" s="6">
        <f>COUNTIF('Readmissions Data Sheet Master'!K3:K63,"Gastrostomy tube blocked/displaced")</f>
        <v>0</v>
      </c>
      <c r="C85" s="8" t="e">
        <f>SUM(B85/B96)</f>
        <v>#DIV/0!</v>
      </c>
    </row>
    <row r="86" spans="1:3" ht="20.100000000000001" customHeight="1" x14ac:dyDescent="0.25">
      <c r="A86" s="5" t="str">
        <f>Resources!T16</f>
        <v>Hypertension</v>
      </c>
      <c r="B86" s="6">
        <f>COUNTIF('Readmissions Data Sheet Master'!K3:K64,"Hypertension")</f>
        <v>0</v>
      </c>
      <c r="C86" s="8" t="e">
        <f>SUM(B86/B96)</f>
        <v>#DIV/0!</v>
      </c>
    </row>
    <row r="87" spans="1:3" ht="20.100000000000001" customHeight="1" x14ac:dyDescent="0.25">
      <c r="A87" s="5" t="str">
        <f>Resources!T17</f>
        <v>Hypotension</v>
      </c>
      <c r="B87" s="6">
        <f>COUNTIF('Readmissions Data Sheet Master'!K3:K65,"Hypotension")</f>
        <v>0</v>
      </c>
      <c r="C87" s="8" t="e">
        <f>SUM(B87/B96)</f>
        <v>#DIV/0!</v>
      </c>
    </row>
    <row r="88" spans="1:3" ht="20.100000000000001" customHeight="1" x14ac:dyDescent="0.25">
      <c r="A88" s="5" t="str">
        <f>Resources!T18</f>
        <v>Pneumonia/bronchitis</v>
      </c>
      <c r="B88" s="6">
        <f>COUNTIF('Readmissions Data Sheet Master'!K3:K66,"Pneumonia/bronchitis")</f>
        <v>0</v>
      </c>
      <c r="C88" s="8" t="e">
        <f>SUM(B88/B96)</f>
        <v>#DIV/0!</v>
      </c>
    </row>
    <row r="89" spans="1:3" ht="20.100000000000001" customHeight="1" x14ac:dyDescent="0.25">
      <c r="A89" s="5" t="str">
        <f>Resources!T19</f>
        <v>Respiratory arrest</v>
      </c>
      <c r="B89" s="6">
        <f>COUNTIF('Readmissions Data Sheet Master'!K3:K67,"Respiratory infection")</f>
        <v>0</v>
      </c>
      <c r="C89" s="8" t="e">
        <f>SUM(B89/B96)</f>
        <v>#DIV/0!</v>
      </c>
    </row>
    <row r="90" spans="1:3" ht="20.100000000000001" customHeight="1" x14ac:dyDescent="0.25">
      <c r="A90" s="5" t="str">
        <f>Resources!T20</f>
        <v>Respiratory infection</v>
      </c>
      <c r="B90" s="6">
        <f>COUNTIF('Readmissions Data Sheet Master'!K3:K68,"Seizure")</f>
        <v>0</v>
      </c>
      <c r="C90" s="8" t="e">
        <f>SUM(B90/B96)</f>
        <v>#DIV/0!</v>
      </c>
    </row>
    <row r="91" spans="1:3" ht="20.100000000000001" customHeight="1" x14ac:dyDescent="0.25">
      <c r="A91" s="5" t="str">
        <f>Resources!T21</f>
        <v>Seizure</v>
      </c>
      <c r="B91" s="6">
        <f>COUNTIF('Readmissions Data Sheet Master'!K3:K69,"Sepsis")</f>
        <v>0</v>
      </c>
      <c r="C91" s="8" t="e">
        <f>SUM(B91/B96)</f>
        <v>#DIV/0!</v>
      </c>
    </row>
    <row r="92" spans="1:3" ht="20.100000000000001" customHeight="1" x14ac:dyDescent="0.25">
      <c r="A92" s="5" t="str">
        <f>Resources!T22</f>
        <v>Sepsis</v>
      </c>
      <c r="B92" s="6">
        <f>COUNTIF('Readmissions Data Sheet Master'!K3:K70,"Stroke/CVA/TIA")</f>
        <v>0</v>
      </c>
      <c r="C92" s="8" t="e">
        <f>SUM(B92/B96)</f>
        <v>#DIV/0!</v>
      </c>
    </row>
    <row r="93" spans="1:3" ht="20.100000000000001" customHeight="1" x14ac:dyDescent="0.25">
      <c r="A93" s="5" t="str">
        <f>Resources!T23</f>
        <v>Stroke/CVA/TIA</v>
      </c>
      <c r="B93" s="6">
        <f>COUNTIF('Readmissions Data Sheet Master'!K3:K71,"UTI")</f>
        <v>0</v>
      </c>
      <c r="C93" s="8" t="e">
        <f>SUM(B93/B96)</f>
        <v>#DIV/0!</v>
      </c>
    </row>
    <row r="94" spans="1:3" ht="20.100000000000001" customHeight="1" x14ac:dyDescent="0.25">
      <c r="A94" s="5" t="str">
        <f>Resources!T24</f>
        <v>UTI</v>
      </c>
      <c r="B94" s="6">
        <f>COUNTIF('Readmissions Data Sheet Master'!K3:K72,"Other, not listed")</f>
        <v>0</v>
      </c>
      <c r="C94" s="8" t="e">
        <f>SUM(B94/B96)</f>
        <v>#DIV/0!</v>
      </c>
    </row>
    <row r="95" spans="1:3" ht="20.100000000000001" customHeight="1" x14ac:dyDescent="0.25">
      <c r="A95" s="5" t="str">
        <f>Resources!T25</f>
        <v>Other, not listed</v>
      </c>
      <c r="B95" s="6">
        <f>COUNTIF('Readmissions Data Sheet Master'!K3:K73,"Unknown")</f>
        <v>0</v>
      </c>
      <c r="C95" s="8" t="e">
        <f>SUM(B95/B96)</f>
        <v>#DIV/0!</v>
      </c>
    </row>
    <row r="96" spans="1:3" ht="20.100000000000001" customHeight="1" x14ac:dyDescent="0.25">
      <c r="A96" s="15" t="s">
        <v>57</v>
      </c>
      <c r="B96" s="16">
        <f>SUM(B73:B95)</f>
        <v>0</v>
      </c>
      <c r="C96" s="17" t="e">
        <f>SUM(C73:C95)</f>
        <v>#DIV/0!</v>
      </c>
    </row>
    <row r="97" spans="1:3" ht="20.100000000000001" customHeight="1" x14ac:dyDescent="0.25"/>
    <row r="98" spans="1:3" ht="20.100000000000001" customHeight="1" x14ac:dyDescent="0.25"/>
    <row r="99" spans="1:3" ht="20.100000000000001" customHeight="1" x14ac:dyDescent="0.25">
      <c r="A99" s="50" t="s">
        <v>58</v>
      </c>
      <c r="B99" s="50"/>
      <c r="C99" s="50"/>
    </row>
    <row r="100" spans="1:3" ht="20.100000000000001" customHeight="1" x14ac:dyDescent="0.25">
      <c r="A100" s="15" t="s">
        <v>59</v>
      </c>
      <c r="B100" s="15" t="s">
        <v>60</v>
      </c>
      <c r="C100" s="15" t="s">
        <v>61</v>
      </c>
    </row>
    <row r="101" spans="1:3" ht="20.100000000000001" customHeight="1" x14ac:dyDescent="0.25">
      <c r="A101" s="5" t="str">
        <f>Resources!N3</f>
        <v>Advanced care plan not in place</v>
      </c>
      <c r="B101" s="5">
        <f>COUNTIF('Readmissions Data Sheet Master'!L3:L51,"Advanced care plan not in place")</f>
        <v>0</v>
      </c>
      <c r="C101" s="8" t="e">
        <f>SUM(B101/B114)</f>
        <v>#DIV/0!</v>
      </c>
    </row>
    <row r="102" spans="1:3" ht="20.100000000000001" customHeight="1" x14ac:dyDescent="0.25">
      <c r="A102" s="6" t="str">
        <f>Resources!N4</f>
        <v>Practitioner unable to provide face to face assessment</v>
      </c>
      <c r="B102" s="5">
        <f>COUNTIF('Readmissions Data Sheet Master'!L3:L51,"Practitioner unable to provide face to face assessment")</f>
        <v>0</v>
      </c>
      <c r="C102" s="8" t="e">
        <f>SUM(B102/B114)</f>
        <v>#DIV/0!</v>
      </c>
    </row>
    <row r="103" spans="1:3" ht="20.100000000000001" customHeight="1" x14ac:dyDescent="0.25">
      <c r="A103" s="6" t="str">
        <f>Resources!N5</f>
        <v>Supplies/Resources</v>
      </c>
      <c r="B103" s="5">
        <f>COUNTIF('Readmissions Data Sheet Master'!L3:L51,"Supplies/Resources")</f>
        <v>0</v>
      </c>
      <c r="C103" s="8" t="e">
        <f>SUM(B103/B114)</f>
        <v>#DIV/0!</v>
      </c>
    </row>
    <row r="104" spans="1:3" ht="20.100000000000001" customHeight="1" x14ac:dyDescent="0.25">
      <c r="A104" s="6" t="str">
        <f>Resources!N6</f>
        <v>Medication management</v>
      </c>
      <c r="B104" s="5">
        <f>COUNTIF('Readmissions Data Sheet Master'!L3:L51,"Medication management")</f>
        <v>0</v>
      </c>
      <c r="C104" s="8" t="e">
        <f>SUM(B104/B114)</f>
        <v>#DIV/0!</v>
      </c>
    </row>
    <row r="105" spans="1:3" ht="20.100000000000001" customHeight="1" x14ac:dyDescent="0.25">
      <c r="A105" s="6" t="str">
        <f>Resources!N7</f>
        <v>Equipment not available</v>
      </c>
      <c r="B105" s="5">
        <f>COUNTIF('Readmissions Data Sheet Master'!L3:L51,"Equipment not available")</f>
        <v>0</v>
      </c>
      <c r="C105" s="8" t="e">
        <f>SUM(B105/B114)</f>
        <v>#DIV/0!</v>
      </c>
    </row>
    <row r="106" spans="1:3" ht="31.35" customHeight="1" x14ac:dyDescent="0.25">
      <c r="A106" s="18" t="str">
        <f>Resources!N8</f>
        <v>Problems with nursing staff resources</v>
      </c>
      <c r="B106" s="5">
        <f>COUNTIF('Readmissions Data Sheet Master'!L3:L51,"Problems with nursing staff resources")</f>
        <v>0</v>
      </c>
      <c r="C106" s="8" t="e">
        <f>SUM(B106/B114)</f>
        <v>#DIV/0!</v>
      </c>
    </row>
    <row r="107" spans="1:3" ht="20.100000000000001" customHeight="1" x14ac:dyDescent="0.25">
      <c r="A107" s="5" t="str">
        <f>Resources!N9</f>
        <v>Lack of diagnostic services</v>
      </c>
      <c r="B107" s="5">
        <f>COUNTIF('Readmissions Data Sheet Master'!L3:L51,"Lack of diagnostic services")</f>
        <v>0</v>
      </c>
      <c r="C107" s="8" t="e">
        <f>SUM(B107/B114)</f>
        <v>#DIV/0!</v>
      </c>
    </row>
    <row r="108" spans="1:3" ht="20.100000000000001" customHeight="1" x14ac:dyDescent="0.25">
      <c r="A108" s="5" t="str">
        <f>Resources!N10</f>
        <v>Resident preference</v>
      </c>
      <c r="B108" s="5">
        <f>COUNTIF('Readmissions Data Sheet Master'!L3:L51,"Resident preference")</f>
        <v>0</v>
      </c>
      <c r="C108" s="8" t="e">
        <f>SUM(B108/B114)</f>
        <v>#DIV/0!</v>
      </c>
    </row>
    <row r="109" spans="1:3" ht="20.100000000000001" customHeight="1" x14ac:dyDescent="0.25">
      <c r="A109" s="5" t="str">
        <f>Resources!N11</f>
        <v>Family preference</v>
      </c>
      <c r="B109" s="5">
        <f>COUNTIF('Readmissions Data Sheet Master'!L3:L51,"Family preference")</f>
        <v>0</v>
      </c>
      <c r="C109" s="8" t="e">
        <f>SUM(B109/B114)</f>
        <v>#DIV/0!</v>
      </c>
    </row>
    <row r="110" spans="1:3" ht="20.100000000000001" customHeight="1" x14ac:dyDescent="0.25">
      <c r="A110" s="5" t="str">
        <f>Resources!N12</f>
        <v>Clinician insisted</v>
      </c>
      <c r="B110" s="5">
        <f>COUNTIF('Readmissions Data Sheet Master'!L3:L51,"Clinician insisted")</f>
        <v>0</v>
      </c>
      <c r="C110" s="8" t="e">
        <f>SUM(B110/B114)</f>
        <v>#DIV/0!</v>
      </c>
    </row>
    <row r="111" spans="1:3" ht="20.100000000000001" customHeight="1" x14ac:dyDescent="0.25">
      <c r="A111" s="5" t="str">
        <f>Resources!N13</f>
        <v>Health plan request</v>
      </c>
      <c r="B111" s="5">
        <f>COUNTIF('Readmissions Data Sheet Master'!L3:L51,"Health plan request")</f>
        <v>0</v>
      </c>
      <c r="C111" s="8" t="e">
        <f>SUM(B111/B114)</f>
        <v>#DIV/0!</v>
      </c>
    </row>
    <row r="112" spans="1:3" ht="31.7" customHeight="1" x14ac:dyDescent="0.25">
      <c r="A112" s="18" t="s">
        <v>162</v>
      </c>
      <c r="B112" s="5">
        <f>COUNTIF('Readmissions Data Sheet Master'!L3:L52,"Not matched to SNF capabilities")</f>
        <v>0</v>
      </c>
      <c r="C112" s="8" t="e">
        <f>SUM(B112/B114)</f>
        <v>#DIV/0!</v>
      </c>
    </row>
    <row r="113" spans="1:3" ht="20.100000000000001" customHeight="1" x14ac:dyDescent="0.25">
      <c r="A113" s="5" t="str">
        <f>Resources!N14</f>
        <v>Other</v>
      </c>
      <c r="B113" s="5">
        <f>COUNTIF('Readmissions Data Sheet Master'!L3:L51,"Other")</f>
        <v>0</v>
      </c>
      <c r="C113" s="8" t="e">
        <f>SUM(B113/B114)</f>
        <v>#DIV/0!</v>
      </c>
    </row>
    <row r="114" spans="1:3" ht="20.100000000000001" customHeight="1" x14ac:dyDescent="0.25">
      <c r="A114" s="16" t="s">
        <v>31</v>
      </c>
      <c r="B114" s="16">
        <f>SUM(B101:B113)</f>
        <v>0</v>
      </c>
      <c r="C114" s="17" t="e">
        <f>SUM(C101:C113)</f>
        <v>#DIV/0!</v>
      </c>
    </row>
    <row r="115" spans="1:3" ht="20.100000000000001" customHeight="1" x14ac:dyDescent="0.25"/>
    <row r="116" spans="1:3" ht="20.100000000000001" customHeight="1" x14ac:dyDescent="0.25"/>
    <row r="117" spans="1:3" ht="20.45" customHeight="1" x14ac:dyDescent="0.25">
      <c r="A117" s="48" t="s">
        <v>12</v>
      </c>
      <c r="B117" s="48"/>
      <c r="C117" s="48"/>
    </row>
    <row r="118" spans="1:3" ht="30" customHeight="1" x14ac:dyDescent="0.25">
      <c r="A118" s="19" t="s">
        <v>62</v>
      </c>
      <c r="B118" s="15" t="s">
        <v>63</v>
      </c>
      <c r="C118" s="15" t="s">
        <v>64</v>
      </c>
    </row>
    <row r="119" spans="1:3" ht="32.1" customHeight="1" x14ac:dyDescent="0.25">
      <c r="A119" s="20" t="s">
        <v>65</v>
      </c>
      <c r="B119" s="5">
        <f>COUNTIF('Readmissions Data Sheet Master'!M3:M51,"ED visit only")</f>
        <v>0</v>
      </c>
      <c r="C119" s="7" t="e">
        <f>SUM(B119/B124)</f>
        <v>#DIV/0!</v>
      </c>
    </row>
    <row r="120" spans="1:3" ht="30.6" customHeight="1" x14ac:dyDescent="0.25">
      <c r="A120" s="20" t="s">
        <v>66</v>
      </c>
      <c r="B120" s="5">
        <f>COUNTIF('Readmissions Data Sheet Master'!M3:M51,"Admitted, Inpatient")</f>
        <v>0</v>
      </c>
      <c r="C120" s="7" t="e">
        <f>SUM(B120/B124)</f>
        <v>#DIV/0!</v>
      </c>
    </row>
    <row r="121" spans="1:3" ht="30.6" customHeight="1" x14ac:dyDescent="0.25">
      <c r="A121" s="20" t="s">
        <v>67</v>
      </c>
      <c r="B121" s="5">
        <f>COUNTIF('Readmissions Data Sheet Master'!M3:M52,"Admitted, observation")</f>
        <v>0</v>
      </c>
      <c r="C121" s="7" t="e">
        <f>SUM(B121/B124)</f>
        <v>#DIV/0!</v>
      </c>
    </row>
    <row r="122" spans="1:3" ht="30.6" customHeight="1" x14ac:dyDescent="0.25">
      <c r="A122" s="20" t="s">
        <v>68</v>
      </c>
      <c r="B122" s="5">
        <f>COUNTIF('Readmissions Data Sheet Master'!M3:M53,"Admitted, status uncertain")</f>
        <v>0</v>
      </c>
      <c r="C122" s="7" t="e">
        <f>SUM(B122/B124)</f>
        <v>#DIV/0!</v>
      </c>
    </row>
    <row r="123" spans="1:3" ht="20.100000000000001" customHeight="1" x14ac:dyDescent="0.25">
      <c r="A123" s="20" t="s">
        <v>69</v>
      </c>
      <c r="B123" s="5">
        <f>COUNTIF('Readmissions Data Sheet Master'!M3:M53,"Other")</f>
        <v>0</v>
      </c>
      <c r="C123" s="7" t="e">
        <f>SUM(B123/B124)</f>
        <v>#DIV/0!</v>
      </c>
    </row>
    <row r="124" spans="1:3" ht="20.100000000000001" customHeight="1" x14ac:dyDescent="0.25">
      <c r="A124" s="21" t="s">
        <v>31</v>
      </c>
      <c r="B124" s="15">
        <f>SUM(B119:B123)</f>
        <v>0</v>
      </c>
      <c r="C124" s="22" t="e">
        <f>SUM(C119:C123)</f>
        <v>#DIV/0!</v>
      </c>
    </row>
    <row r="125" spans="1:3" ht="20.100000000000001" customHeight="1" x14ac:dyDescent="0.25"/>
    <row r="126" spans="1:3" ht="20.100000000000001" customHeight="1" x14ac:dyDescent="0.25"/>
    <row r="127" spans="1:3" ht="20.100000000000001" hidden="1" customHeight="1" x14ac:dyDescent="0.25">
      <c r="A127" s="48" t="s">
        <v>5</v>
      </c>
      <c r="B127" s="48"/>
      <c r="C127" s="48"/>
    </row>
    <row r="128" spans="1:3" ht="33.6" hidden="1" customHeight="1" x14ac:dyDescent="0.25">
      <c r="A128" s="19" t="s">
        <v>62</v>
      </c>
      <c r="B128" s="15" t="s">
        <v>63</v>
      </c>
      <c r="C128" s="15" t="s">
        <v>64</v>
      </c>
    </row>
    <row r="129" spans="1:3" ht="20.100000000000001" hidden="1" customHeight="1" x14ac:dyDescent="0.25">
      <c r="A129" s="20" t="str">
        <f>Resources!$G$3</f>
        <v>Dr Me</v>
      </c>
      <c r="B129" s="5">
        <f>COUNTIF('Readmissions Data Sheet Master'!E3:E61,"Dr Me")</f>
        <v>0</v>
      </c>
      <c r="C129" s="7" t="e">
        <f>SUM(B129/B134)</f>
        <v>#DIV/0!</v>
      </c>
    </row>
    <row r="130" spans="1:3" ht="20.100000000000001" hidden="1" customHeight="1" x14ac:dyDescent="0.25">
      <c r="A130" s="20" t="str">
        <f>Resources!$G$4</f>
        <v>Dr You</v>
      </c>
      <c r="B130" s="5">
        <f>COUNTIF('Readmissions Data Sheet Master'!E3:E61,"Dr You")</f>
        <v>0</v>
      </c>
      <c r="C130" s="7" t="e">
        <f>SUM(B130/B134)</f>
        <v>#DIV/0!</v>
      </c>
    </row>
    <row r="131" spans="1:3" ht="20.100000000000001" hidden="1" customHeight="1" x14ac:dyDescent="0.25">
      <c r="A131" s="20" t="str">
        <f>Resources!$G$5</f>
        <v>Dr A</v>
      </c>
      <c r="B131" s="5">
        <f>COUNTIF('Readmissions Data Sheet Master'!E3:E62,"Dr A")</f>
        <v>0</v>
      </c>
      <c r="C131" s="7" t="e">
        <f>SUM(B131/B134)</f>
        <v>#DIV/0!</v>
      </c>
    </row>
    <row r="132" spans="1:3" ht="32.1" hidden="1" customHeight="1" x14ac:dyDescent="0.25">
      <c r="A132" s="20" t="str">
        <f>Resources!$G$6</f>
        <v>Dr B</v>
      </c>
      <c r="B132" s="5">
        <f>COUNTIF('Readmissions Data Sheet Master'!E3:E63,"Dr B")</f>
        <v>0</v>
      </c>
      <c r="C132" s="7" t="e">
        <f>SUM(B132/B134)</f>
        <v>#DIV/0!</v>
      </c>
    </row>
    <row r="133" spans="1:3" ht="20.100000000000001" hidden="1" customHeight="1" x14ac:dyDescent="0.25">
      <c r="A133" s="20" t="str">
        <f>Resources!$G$7</f>
        <v>Dr C</v>
      </c>
      <c r="B133" s="5">
        <f>COUNTIF('Readmissions Data Sheet Master'!E3:E63,"Dr C")</f>
        <v>0</v>
      </c>
      <c r="C133" s="7" t="e">
        <f>SUM(B133/B134)</f>
        <v>#DIV/0!</v>
      </c>
    </row>
    <row r="134" spans="1:3" ht="20.100000000000001" hidden="1" customHeight="1" x14ac:dyDescent="0.25">
      <c r="A134" s="21" t="s">
        <v>31</v>
      </c>
      <c r="B134" s="15">
        <f>SUM(B129:B133)</f>
        <v>0</v>
      </c>
      <c r="C134" s="22" t="e">
        <f>SUM(C129:C133)</f>
        <v>#DIV/0!</v>
      </c>
    </row>
    <row r="135" spans="1:3" ht="20.100000000000001" hidden="1" customHeight="1" x14ac:dyDescent="0.25"/>
    <row r="136" spans="1:3" ht="20.100000000000001" hidden="1" customHeight="1" x14ac:dyDescent="0.25"/>
    <row r="137" spans="1:3" ht="20.100000000000001" hidden="1" customHeight="1" x14ac:dyDescent="0.25"/>
    <row r="138" spans="1:3" ht="20.100000000000001" customHeight="1" x14ac:dyDescent="0.25"/>
    <row r="139" spans="1:3" ht="20.100000000000001" customHeight="1" x14ac:dyDescent="0.25"/>
    <row r="140" spans="1:3" ht="20.100000000000001" customHeight="1" x14ac:dyDescent="0.25"/>
    <row r="141" spans="1:3" ht="20.100000000000001" customHeight="1" x14ac:dyDescent="0.25"/>
    <row r="142" spans="1:3" ht="20.100000000000001" customHeight="1" x14ac:dyDescent="0.25"/>
    <row r="143" spans="1:3" ht="20.100000000000001" customHeight="1" x14ac:dyDescent="0.25"/>
    <row r="144" spans="1:3"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sheetData>
  <mergeCells count="10">
    <mergeCell ref="A127:C127"/>
    <mergeCell ref="N6:P6"/>
    <mergeCell ref="U6:W6"/>
    <mergeCell ref="A99:C99"/>
    <mergeCell ref="A117:C117"/>
    <mergeCell ref="A6:C6"/>
    <mergeCell ref="A17:C17"/>
    <mergeCell ref="A26:C26"/>
    <mergeCell ref="A39:C39"/>
    <mergeCell ref="A71:C71"/>
  </mergeCells>
  <pageMargins left="0.7" right="0.7" top="0.75" bottom="0.75" header="0.3" footer="0.3"/>
  <pageSetup orientation="portrait" horizontalDpi="200" verticalDpi="200"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2A1A54CC-481C-4667-8640-C0B1BC721025}">
          <x14:formula1>
            <xm:f>Resources!G3</xm:f>
          </x14:formula1>
          <xm:sqref>B129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workbookViewId="0">
      <selection activeCell="N16" sqref="N16"/>
    </sheetView>
  </sheetViews>
  <sheetFormatPr defaultRowHeight="15" x14ac:dyDescent="0.25"/>
  <cols>
    <col min="1" max="1" width="15.42578125" customWidth="1"/>
    <col min="4" max="4" width="10.42578125" customWidth="1"/>
    <col min="9" max="9" width="17.42578125" customWidth="1"/>
    <col min="14" max="14" width="29.42578125" customWidth="1"/>
    <col min="15" max="15" width="10.5703125" customWidth="1"/>
  </cols>
  <sheetData>
    <row r="1" spans="1:23" ht="66" customHeight="1" x14ac:dyDescent="0.4">
      <c r="A1" s="56" t="s">
        <v>70</v>
      </c>
      <c r="B1" s="56"/>
      <c r="C1" s="56"/>
      <c r="D1" s="56"/>
      <c r="E1" s="56"/>
      <c r="F1" s="56"/>
      <c r="G1" s="56"/>
      <c r="H1" s="56"/>
      <c r="I1" s="56"/>
      <c r="J1" s="56"/>
      <c r="K1" s="56"/>
      <c r="L1" s="56"/>
      <c r="M1" s="56"/>
      <c r="N1" s="56"/>
      <c r="O1" s="56"/>
      <c r="P1" s="56"/>
      <c r="Q1" s="56"/>
      <c r="R1" s="56"/>
      <c r="S1" s="56"/>
      <c r="T1" s="56"/>
      <c r="U1" s="56"/>
      <c r="V1" s="56"/>
      <c r="W1" s="56"/>
    </row>
    <row r="2" spans="1:23" s="32" customFormat="1" ht="75" x14ac:dyDescent="0.25">
      <c r="A2" s="32" t="s">
        <v>19</v>
      </c>
      <c r="B2" s="32" t="s">
        <v>3</v>
      </c>
      <c r="C2" s="32" t="s">
        <v>71</v>
      </c>
      <c r="D2" s="32" t="s">
        <v>72</v>
      </c>
      <c r="E2" s="32" t="s">
        <v>73</v>
      </c>
      <c r="G2" s="32" t="s">
        <v>74</v>
      </c>
      <c r="I2" s="32" t="s">
        <v>75</v>
      </c>
      <c r="L2" s="32" t="s">
        <v>6</v>
      </c>
      <c r="N2" s="32" t="s">
        <v>76</v>
      </c>
      <c r="P2" s="32" t="s">
        <v>77</v>
      </c>
      <c r="T2" s="32" t="s">
        <v>78</v>
      </c>
    </row>
    <row r="3" spans="1:23" x14ac:dyDescent="0.25">
      <c r="A3" t="s">
        <v>79</v>
      </c>
      <c r="C3">
        <v>1</v>
      </c>
      <c r="D3" t="s">
        <v>80</v>
      </c>
      <c r="E3" s="25" t="s">
        <v>81</v>
      </c>
      <c r="G3" t="s">
        <v>82</v>
      </c>
      <c r="I3" t="s">
        <v>83</v>
      </c>
      <c r="L3" t="s">
        <v>84</v>
      </c>
      <c r="N3" t="s">
        <v>85</v>
      </c>
      <c r="P3" t="s">
        <v>65</v>
      </c>
      <c r="T3" t="s">
        <v>86</v>
      </c>
    </row>
    <row r="4" spans="1:23" x14ac:dyDescent="0.25">
      <c r="A4" t="s">
        <v>87</v>
      </c>
      <c r="B4" t="s">
        <v>160</v>
      </c>
      <c r="C4">
        <v>2</v>
      </c>
      <c r="D4" t="s">
        <v>88</v>
      </c>
      <c r="E4" s="25" t="s">
        <v>89</v>
      </c>
      <c r="G4" t="s">
        <v>90</v>
      </c>
      <c r="I4" t="s">
        <v>91</v>
      </c>
      <c r="L4" t="s">
        <v>92</v>
      </c>
      <c r="N4" t="s">
        <v>93</v>
      </c>
      <c r="P4" t="s">
        <v>66</v>
      </c>
      <c r="T4" t="s">
        <v>94</v>
      </c>
    </row>
    <row r="5" spans="1:23" x14ac:dyDescent="0.25">
      <c r="A5" t="s">
        <v>95</v>
      </c>
      <c r="B5" t="s">
        <v>161</v>
      </c>
      <c r="C5">
        <v>3</v>
      </c>
      <c r="E5" s="25" t="s">
        <v>96</v>
      </c>
      <c r="G5" t="s">
        <v>97</v>
      </c>
      <c r="I5" t="s">
        <v>98</v>
      </c>
      <c r="L5" t="s">
        <v>99</v>
      </c>
      <c r="N5" t="s">
        <v>100</v>
      </c>
      <c r="P5" t="s">
        <v>67</v>
      </c>
      <c r="T5" t="s">
        <v>101</v>
      </c>
    </row>
    <row r="6" spans="1:23" x14ac:dyDescent="0.25">
      <c r="A6" t="s">
        <v>102</v>
      </c>
      <c r="E6" s="25" t="s">
        <v>103</v>
      </c>
      <c r="G6" t="s">
        <v>104</v>
      </c>
      <c r="I6" t="s">
        <v>105</v>
      </c>
      <c r="L6" t="s">
        <v>106</v>
      </c>
      <c r="N6" t="s">
        <v>107</v>
      </c>
      <c r="P6" t="s">
        <v>68</v>
      </c>
      <c r="T6" t="s">
        <v>108</v>
      </c>
    </row>
    <row r="7" spans="1:23" x14ac:dyDescent="0.25">
      <c r="A7" t="s">
        <v>109</v>
      </c>
      <c r="E7" s="25"/>
      <c r="G7" t="s">
        <v>110</v>
      </c>
      <c r="I7" t="s">
        <v>111</v>
      </c>
      <c r="L7" t="s">
        <v>69</v>
      </c>
      <c r="N7" t="s">
        <v>112</v>
      </c>
      <c r="P7" t="s">
        <v>69</v>
      </c>
      <c r="T7" t="s">
        <v>113</v>
      </c>
    </row>
    <row r="8" spans="1:23" x14ac:dyDescent="0.25">
      <c r="A8" t="s">
        <v>114</v>
      </c>
      <c r="E8" s="25"/>
      <c r="I8" t="s">
        <v>115</v>
      </c>
      <c r="N8" t="s">
        <v>116</v>
      </c>
      <c r="T8" t="s">
        <v>117</v>
      </c>
    </row>
    <row r="9" spans="1:23" x14ac:dyDescent="0.25">
      <c r="A9" t="s">
        <v>118</v>
      </c>
      <c r="E9" s="25"/>
      <c r="I9" t="s">
        <v>119</v>
      </c>
      <c r="N9" t="s">
        <v>120</v>
      </c>
      <c r="T9" t="s">
        <v>121</v>
      </c>
    </row>
    <row r="10" spans="1:23" x14ac:dyDescent="0.25">
      <c r="E10" s="25"/>
      <c r="I10" t="s">
        <v>122</v>
      </c>
      <c r="N10" t="s">
        <v>123</v>
      </c>
      <c r="T10" t="s">
        <v>124</v>
      </c>
    </row>
    <row r="11" spans="1:23" x14ac:dyDescent="0.25">
      <c r="E11" s="25"/>
      <c r="I11" t="s">
        <v>125</v>
      </c>
      <c r="N11" t="s">
        <v>126</v>
      </c>
      <c r="T11" t="s">
        <v>127</v>
      </c>
    </row>
    <row r="12" spans="1:23" x14ac:dyDescent="0.25">
      <c r="E12" s="25"/>
      <c r="I12" t="s">
        <v>128</v>
      </c>
      <c r="N12" t="s">
        <v>129</v>
      </c>
      <c r="T12" t="s">
        <v>130</v>
      </c>
    </row>
    <row r="13" spans="1:23" x14ac:dyDescent="0.25">
      <c r="I13" t="s">
        <v>131</v>
      </c>
      <c r="N13" t="s">
        <v>132</v>
      </c>
      <c r="T13" t="s">
        <v>133</v>
      </c>
    </row>
    <row r="14" spans="1:23" x14ac:dyDescent="0.25">
      <c r="I14" t="s">
        <v>134</v>
      </c>
      <c r="N14" t="s">
        <v>69</v>
      </c>
      <c r="T14" t="s">
        <v>135</v>
      </c>
    </row>
    <row r="15" spans="1:23" x14ac:dyDescent="0.25">
      <c r="I15" t="s">
        <v>136</v>
      </c>
      <c r="N15" t="s">
        <v>162</v>
      </c>
      <c r="T15" t="s">
        <v>137</v>
      </c>
    </row>
    <row r="16" spans="1:23" x14ac:dyDescent="0.25">
      <c r="I16" t="s">
        <v>138</v>
      </c>
      <c r="T16" t="s">
        <v>139</v>
      </c>
    </row>
    <row r="17" spans="9:20" x14ac:dyDescent="0.25">
      <c r="I17" t="s">
        <v>140</v>
      </c>
      <c r="T17" t="s">
        <v>141</v>
      </c>
    </row>
    <row r="18" spans="9:20" x14ac:dyDescent="0.25">
      <c r="I18" t="s">
        <v>142</v>
      </c>
      <c r="T18" t="s">
        <v>143</v>
      </c>
    </row>
    <row r="19" spans="9:20" x14ac:dyDescent="0.25">
      <c r="I19" t="s">
        <v>144</v>
      </c>
      <c r="T19" t="s">
        <v>145</v>
      </c>
    </row>
    <row r="20" spans="9:20" x14ac:dyDescent="0.25">
      <c r="I20" t="s">
        <v>146</v>
      </c>
      <c r="T20" t="s">
        <v>147</v>
      </c>
    </row>
    <row r="21" spans="9:20" x14ac:dyDescent="0.25">
      <c r="I21" t="s">
        <v>148</v>
      </c>
      <c r="T21" t="s">
        <v>149</v>
      </c>
    </row>
    <row r="22" spans="9:20" x14ac:dyDescent="0.25">
      <c r="I22" t="s">
        <v>150</v>
      </c>
      <c r="T22" t="s">
        <v>151</v>
      </c>
    </row>
    <row r="23" spans="9:20" x14ac:dyDescent="0.25">
      <c r="I23" t="s">
        <v>152</v>
      </c>
      <c r="T23" t="s">
        <v>153</v>
      </c>
    </row>
    <row r="24" spans="9:20" x14ac:dyDescent="0.25">
      <c r="I24" t="s">
        <v>154</v>
      </c>
      <c r="T24" t="s">
        <v>155</v>
      </c>
    </row>
    <row r="25" spans="9:20" x14ac:dyDescent="0.25">
      <c r="I25" t="s">
        <v>156</v>
      </c>
      <c r="T25" t="s">
        <v>157</v>
      </c>
    </row>
    <row r="26" spans="9:20" x14ac:dyDescent="0.25">
      <c r="I26" t="s">
        <v>158</v>
      </c>
      <c r="T26" t="s">
        <v>159</v>
      </c>
    </row>
    <row r="27" spans="9:20" x14ac:dyDescent="0.25">
      <c r="I27" t="s">
        <v>50</v>
      </c>
    </row>
    <row r="28" spans="9:20" x14ac:dyDescent="0.25">
      <c r="I28" t="s">
        <v>51</v>
      </c>
    </row>
    <row r="29" spans="9:20" x14ac:dyDescent="0.25">
      <c r="I29" t="s">
        <v>52</v>
      </c>
    </row>
  </sheetData>
  <mergeCells count="1">
    <mergeCell ref="A1:W1"/>
  </mergeCell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B4F-8162-4960-8FF0-3AFED315D934}">
  <dimension ref="A2:A4"/>
  <sheetViews>
    <sheetView workbookViewId="0">
      <selection activeCell="E6" sqref="E6"/>
    </sheetView>
  </sheetViews>
  <sheetFormatPr defaultRowHeight="15" x14ac:dyDescent="0.25"/>
  <sheetData>
    <row r="2" spans="1:1" x14ac:dyDescent="0.25">
      <c r="A2" t="s">
        <v>163</v>
      </c>
    </row>
    <row r="3" spans="1:1" x14ac:dyDescent="0.25">
      <c r="A3" t="s">
        <v>164</v>
      </c>
    </row>
    <row r="4" spans="1:1" x14ac:dyDescent="0.25">
      <c r="A4"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3509-7262-4C77-97E1-41C90B51071F}">
  <dimension ref="A1:L6"/>
  <sheetViews>
    <sheetView tabSelected="1" workbookViewId="0">
      <selection activeCell="D12" sqref="D12"/>
    </sheetView>
  </sheetViews>
  <sheetFormatPr defaultRowHeight="15" x14ac:dyDescent="0.25"/>
  <sheetData>
    <row r="1" spans="1:12" x14ac:dyDescent="0.25">
      <c r="A1" s="57" t="s">
        <v>166</v>
      </c>
      <c r="B1" s="57"/>
      <c r="C1" s="57"/>
      <c r="D1" s="57"/>
      <c r="E1" s="57"/>
      <c r="F1" s="57"/>
      <c r="G1" s="57"/>
      <c r="H1" s="57"/>
      <c r="I1" s="57"/>
      <c r="J1" s="57"/>
      <c r="K1" s="57"/>
      <c r="L1" s="57"/>
    </row>
    <row r="2" spans="1:12" x14ac:dyDescent="0.25">
      <c r="A2" s="57"/>
      <c r="B2" s="57"/>
      <c r="C2" s="57"/>
      <c r="D2" s="57"/>
      <c r="E2" s="57"/>
      <c r="F2" s="57"/>
      <c r="G2" s="57"/>
      <c r="H2" s="57"/>
      <c r="I2" s="57"/>
      <c r="J2" s="57"/>
      <c r="K2" s="57"/>
      <c r="L2" s="57"/>
    </row>
    <row r="3" spans="1:12" x14ac:dyDescent="0.25">
      <c r="A3" s="57"/>
      <c r="B3" s="57"/>
      <c r="C3" s="57"/>
      <c r="D3" s="57"/>
      <c r="E3" s="57"/>
      <c r="F3" s="57"/>
      <c r="G3" s="57"/>
      <c r="H3" s="57"/>
      <c r="I3" s="57"/>
      <c r="J3" s="57"/>
      <c r="K3" s="57"/>
      <c r="L3" s="57"/>
    </row>
    <row r="4" spans="1:12" x14ac:dyDescent="0.25">
      <c r="A4" s="57"/>
      <c r="B4" s="57"/>
      <c r="C4" s="57"/>
      <c r="D4" s="57"/>
      <c r="E4" s="57"/>
      <c r="F4" s="57"/>
      <c r="G4" s="57"/>
      <c r="H4" s="57"/>
      <c r="I4" s="57"/>
      <c r="J4" s="57"/>
      <c r="K4" s="57"/>
      <c r="L4" s="57"/>
    </row>
    <row r="5" spans="1:12" x14ac:dyDescent="0.25">
      <c r="A5" s="57"/>
      <c r="B5" s="57"/>
      <c r="C5" s="57"/>
      <c r="D5" s="57"/>
      <c r="E5" s="57"/>
      <c r="F5" s="57"/>
      <c r="G5" s="57"/>
      <c r="H5" s="57"/>
      <c r="I5" s="57"/>
      <c r="J5" s="57"/>
      <c r="K5" s="57"/>
      <c r="L5" s="57"/>
    </row>
    <row r="6" spans="1:12" x14ac:dyDescent="0.25">
      <c r="A6" s="57"/>
      <c r="B6" s="57"/>
      <c r="C6" s="57"/>
      <c r="D6" s="57"/>
      <c r="E6" s="57"/>
      <c r="F6" s="57"/>
      <c r="G6" s="57"/>
      <c r="H6" s="57"/>
      <c r="I6" s="57"/>
      <c r="J6" s="57"/>
      <c r="K6" s="57"/>
      <c r="L6" s="57"/>
    </row>
  </sheetData>
  <mergeCells count="1">
    <mergeCell ref="A1:L6"/>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E1815C976FE8488D85B83B16F82059" ma:contentTypeVersion="16" ma:contentTypeDescription="Create a new document." ma:contentTypeScope="" ma:versionID="dc69ac315fe8d3ecced817db2f3cd196">
  <xsd:schema xmlns:xsd="http://www.w3.org/2001/XMLSchema" xmlns:xs="http://www.w3.org/2001/XMLSchema" xmlns:p="http://schemas.microsoft.com/office/2006/metadata/properties" xmlns:ns2="b23537d2-6c13-4f57-a652-fe84ca6e5d1b" xmlns:ns3="761ae47a-98b3-4c62-befc-cbf51ac6c29e" targetNamespace="http://schemas.microsoft.com/office/2006/metadata/properties" ma:root="true" ma:fieldsID="9c9e6af493e2cbd2f8ff6f8175fec86f" ns2:_="" ns3:_="">
    <xsd:import namespace="b23537d2-6c13-4f57-a652-fe84ca6e5d1b"/>
    <xsd:import namespace="761ae47a-98b3-4c62-befc-cbf51ac6c2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537d2-6c13-4f57-a652-fe84ca6e5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a26a4-0d56-42cd-a795-7b5cfdf1600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1ae47a-98b3-4c62-befc-cbf51ac6c29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c43446-e9f5-4114-b02d-83f1c9c49170}" ma:internalName="TaxCatchAll" ma:showField="CatchAllData" ma:web="761ae47a-98b3-4c62-befc-cbf51ac6c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1ae47a-98b3-4c62-befc-cbf51ac6c29e" xsi:nil="true"/>
    <lcf76f155ced4ddcb4097134ff3c332f xmlns="b23537d2-6c13-4f57-a652-fe84ca6e5d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BCDFBD-AF38-4ED7-AA74-B8AA4FC4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537d2-6c13-4f57-a652-fe84ca6e5d1b"/>
    <ds:schemaRef ds:uri="761ae47a-98b3-4c62-befc-cbf51ac6c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F95A9-2D56-4925-9188-8A65CF4EAFB5}">
  <ds:schemaRefs>
    <ds:schemaRef ds:uri="http://schemas.microsoft.com/sharepoint/v3/contenttype/forms"/>
  </ds:schemaRefs>
</ds:datastoreItem>
</file>

<file path=customXml/itemProps3.xml><?xml version="1.0" encoding="utf-8"?>
<ds:datastoreItem xmlns:ds="http://schemas.openxmlformats.org/officeDocument/2006/customXml" ds:itemID="{F5F6E4C8-723C-4CE7-A929-02BB45F30A4B}">
  <ds:schemaRefs>
    <ds:schemaRef ds:uri="http://schemas.microsoft.com/office/2006/metadata/properties"/>
    <ds:schemaRef ds:uri="http://schemas.microsoft.com/office/infopath/2007/PartnerControls"/>
    <ds:schemaRef ds:uri="761ae47a-98b3-4c62-befc-cbf51ac6c29e"/>
    <ds:schemaRef ds:uri="b23537d2-6c13-4f57-a652-fe84ca6e5d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Readmissions Data Sheet Master</vt:lpstr>
      <vt:lpstr>Graphs</vt:lpstr>
      <vt:lpstr>Resources</vt:lpstr>
      <vt:lpstr>Instructions</vt:lpstr>
      <vt:lpstr>Disclaimer</vt:lpstr>
      <vt:lpstr>'Readmissions Data Sheet Master'!Print_Area</vt:lpstr>
      <vt:lpstr>'Readmissions Data Sheet Master'!Print_Titles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Hampton</dc:creator>
  <cp:keywords/>
  <dc:description/>
  <cp:lastModifiedBy>Rukiya Campbell</cp:lastModifiedBy>
  <cp:revision/>
  <dcterms:created xsi:type="dcterms:W3CDTF">2022-11-10T14:14:58Z</dcterms:created>
  <dcterms:modified xsi:type="dcterms:W3CDTF">2023-08-16T13:56:53Z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0x01010007E1815C976FE8488D85B83B16F82059</vt:lpwstr>
  </property>
  <property fmtid="{D5CDD505-2E9C-101B-9397-08002B2CF9AE}" pid="3" name="MediaServiceImageTags">
    <vt:lpwstr/>
  </property>
</Properties>
</file>