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BishopAsst\Google Drive\_Pr.Mitch.Phillips Files\NEOS\Compensation Guidelines Team\"/>
    </mc:Choice>
  </mc:AlternateContent>
  <xr:revisionPtr revIDLastSave="0" documentId="13_ncr:1_{BEF43DAB-308C-4A33-9209-27482C536F46}" xr6:coauthVersionLast="47" xr6:coauthVersionMax="47" xr10:uidLastSave="{00000000-0000-0000-0000-000000000000}"/>
  <bookViews>
    <workbookView xWindow="2730" yWindow="2730" windowWidth="21600" windowHeight="11385" xr2:uid="{4B1AADFF-8D70-4895-86EF-5936CD65B5B2}"/>
  </bookViews>
  <sheets>
    <sheet name="Instructions" sheetId="6" r:id="rId1"/>
    <sheet name="Compensation Calculations" sheetId="1" r:id="rId2"/>
    <sheet name="Benefits &amp; Expenses" sheetId="2" r:id="rId3"/>
    <sheet name="Printable Summary" sheetId="3" r:id="rId4"/>
    <sheet name="Printable Summary - Shared Call"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3" l="1"/>
  <c r="C17" i="2"/>
  <c r="D19" i="1"/>
  <c r="D9" i="1"/>
  <c r="Q15" i="2"/>
  <c r="H7" i="4"/>
  <c r="F5" i="4"/>
  <c r="H9" i="4"/>
  <c r="F9" i="4"/>
  <c r="D9" i="4"/>
  <c r="D3" i="4"/>
  <c r="J37" i="4"/>
  <c r="J36" i="4"/>
  <c r="J35" i="4"/>
  <c r="J34" i="4"/>
  <c r="J33" i="4"/>
  <c r="J25" i="4"/>
  <c r="J24" i="4"/>
  <c r="J23" i="4"/>
  <c r="J22" i="4"/>
  <c r="P15" i="2"/>
  <c r="N53" i="2"/>
  <c r="H37" i="4" s="1"/>
  <c r="L53" i="2"/>
  <c r="F37" i="4" s="1"/>
  <c r="J53" i="2"/>
  <c r="D37" i="4" s="1"/>
  <c r="N52" i="2"/>
  <c r="H36" i="4" s="1"/>
  <c r="L52" i="2"/>
  <c r="F36" i="4" s="1"/>
  <c r="J52" i="2"/>
  <c r="D36" i="4" s="1"/>
  <c r="N51" i="2"/>
  <c r="H35" i="4" s="1"/>
  <c r="L51" i="2"/>
  <c r="F35" i="4" s="1"/>
  <c r="J51" i="2"/>
  <c r="D35" i="4" s="1"/>
  <c r="N50" i="2"/>
  <c r="H34" i="4" s="1"/>
  <c r="L50" i="2"/>
  <c r="F34" i="4" s="1"/>
  <c r="J50" i="2"/>
  <c r="D34" i="4" s="1"/>
  <c r="N49" i="2"/>
  <c r="L49" i="2"/>
  <c r="L55" i="2" s="1"/>
  <c r="J49" i="2"/>
  <c r="N42" i="2"/>
  <c r="L42" i="2"/>
  <c r="J42" i="2"/>
  <c r="N41" i="2"/>
  <c r="L41" i="2"/>
  <c r="J41" i="2"/>
  <c r="N40" i="2"/>
  <c r="L40" i="2"/>
  <c r="J40" i="2"/>
  <c r="N36" i="2"/>
  <c r="L36" i="2"/>
  <c r="F25" i="4" s="1"/>
  <c r="J36" i="2"/>
  <c r="D25" i="4" s="1"/>
  <c r="N35" i="2"/>
  <c r="H24" i="4" s="1"/>
  <c r="L35" i="2"/>
  <c r="F24" i="4" s="1"/>
  <c r="J35" i="2"/>
  <c r="D24" i="4" s="1"/>
  <c r="N34" i="2"/>
  <c r="H23" i="4" s="1"/>
  <c r="L34" i="2"/>
  <c r="F23" i="4" s="1"/>
  <c r="J34" i="2"/>
  <c r="D23" i="4" s="1"/>
  <c r="N33" i="2"/>
  <c r="H22" i="4" s="1"/>
  <c r="L33" i="2"/>
  <c r="J33" i="2"/>
  <c r="D26" i="1"/>
  <c r="N55" i="2" l="1"/>
  <c r="P55" i="2" s="1"/>
  <c r="N43" i="2"/>
  <c r="H28" i="4" s="1"/>
  <c r="J55" i="2"/>
  <c r="N37" i="2"/>
  <c r="L37" i="2"/>
  <c r="F26" i="4" s="1"/>
  <c r="L43" i="2"/>
  <c r="F28" i="4" s="1"/>
  <c r="J37" i="2"/>
  <c r="F33" i="4"/>
  <c r="F39" i="4" s="1"/>
  <c r="F22" i="4"/>
  <c r="J43" i="2"/>
  <c r="D28" i="4" s="1"/>
  <c r="D33" i="4"/>
  <c r="D39" i="4" s="1"/>
  <c r="J26" i="4"/>
  <c r="H25" i="4"/>
  <c r="H33" i="4"/>
  <c r="H39" i="4" s="1"/>
  <c r="D22" i="4"/>
  <c r="J39" i="4"/>
  <c r="J19" i="2"/>
  <c r="D16" i="4" s="1"/>
  <c r="L19" i="2"/>
  <c r="F16" i="4" s="1"/>
  <c r="L45" i="2" l="1"/>
  <c r="H26" i="4"/>
  <c r="H30" i="4" s="1"/>
  <c r="N45" i="2"/>
  <c r="D26" i="4"/>
  <c r="D30" i="4" s="1"/>
  <c r="J45" i="2"/>
  <c r="F30" i="4"/>
  <c r="P45" i="2" l="1"/>
  <c r="B29" i="3" l="1"/>
  <c r="B28" i="3"/>
  <c r="B27" i="3"/>
  <c r="B26" i="3"/>
  <c r="B25" i="3"/>
  <c r="B16" i="3"/>
  <c r="C43" i="2"/>
  <c r="B14" i="3"/>
  <c r="B13" i="3"/>
  <c r="C55" i="2"/>
  <c r="C37" i="2"/>
  <c r="B19" i="3" l="1"/>
  <c r="J28" i="4"/>
  <c r="J30" i="4" s="1"/>
  <c r="E17" i="2"/>
  <c r="J14" i="4" s="1"/>
  <c r="B31" i="3"/>
  <c r="C45" i="2"/>
  <c r="B17" i="3"/>
  <c r="B21" i="3" l="1"/>
  <c r="N17" i="2"/>
  <c r="N21" i="2" s="1"/>
  <c r="N58" i="2" s="1"/>
  <c r="L17" i="2"/>
  <c r="L21" i="2" s="1"/>
  <c r="L58" i="2" s="1"/>
  <c r="J17" i="2"/>
  <c r="J21" i="2" s="1"/>
  <c r="J58" i="2" s="1"/>
  <c r="B5" i="3"/>
  <c r="D11" i="1"/>
  <c r="B30" i="1"/>
  <c r="C30" i="1" s="1"/>
  <c r="C19" i="2" s="1"/>
  <c r="E19" i="2" s="1"/>
  <c r="N19" i="2" s="1"/>
  <c r="H16" i="4" s="1"/>
  <c r="D7" i="1"/>
  <c r="D23" i="1"/>
  <c r="E21" i="2" l="1"/>
  <c r="J16" i="4"/>
  <c r="J18" i="4" s="1"/>
  <c r="J42" i="4" s="1"/>
  <c r="B7" i="3"/>
  <c r="B9" i="3" s="1"/>
  <c r="B34" i="3" s="1"/>
  <c r="H14" i="4"/>
  <c r="H18" i="4" s="1"/>
  <c r="H42" i="4" s="1"/>
  <c r="F14" i="4"/>
  <c r="F18" i="4" s="1"/>
  <c r="F42" i="4" s="1"/>
  <c r="P21" i="2"/>
  <c r="D14" i="4"/>
  <c r="D18" i="4" s="1"/>
  <c r="D42" i="4" s="1"/>
  <c r="D12" i="1"/>
  <c r="D22" i="1" s="1"/>
  <c r="D30" i="1"/>
  <c r="C21" i="2"/>
  <c r="C58" i="2" s="1"/>
  <c r="P58" i="2" l="1"/>
  <c r="C30" i="2"/>
  <c r="B29" i="1"/>
  <c r="C29" i="1" s="1"/>
  <c r="D24" i="1"/>
  <c r="D29" i="1" l="1"/>
  <c r="B31" i="1"/>
  <c r="C31" i="1" s="1"/>
  <c r="D31" i="1" l="1"/>
</calcChain>
</file>

<file path=xl/sharedStrings.xml><?xml version="1.0" encoding="utf-8"?>
<sst xmlns="http://schemas.openxmlformats.org/spreadsheetml/2006/main" count="196" uniqueCount="161">
  <si>
    <t>Section 1</t>
  </si>
  <si>
    <t>Formula</t>
  </si>
  <si>
    <t>Your Baseline</t>
  </si>
  <si>
    <t>Section 2</t>
  </si>
  <si>
    <t>Determining Salary Range Adjustments</t>
  </si>
  <si>
    <t>Lutherans have long expected that their pastoral leaders be well-educated. This credit seeks to account for and encourage life-long learning for leadership.</t>
  </si>
  <si>
    <t>Section 3</t>
  </si>
  <si>
    <t>Negotiating Actual Salary</t>
  </si>
  <si>
    <t>Salary Range High (Box L)</t>
  </si>
  <si>
    <t>Salary Range Low (Box J)</t>
  </si>
  <si>
    <r>
      <t xml:space="preserve">Determining </t>
    </r>
    <r>
      <rPr>
        <b/>
        <u/>
        <sz val="14"/>
        <color theme="1"/>
        <rFont val="Arial"/>
        <family val="2"/>
      </rPr>
      <t>MINIMUM</t>
    </r>
    <r>
      <rPr>
        <b/>
        <sz val="14"/>
        <color theme="1"/>
        <rFont val="Arial"/>
        <family val="2"/>
      </rPr>
      <t xml:space="preserve"> Salary</t>
    </r>
  </si>
  <si>
    <t>Your Figure</t>
  </si>
  <si>
    <t>Your Points</t>
  </si>
  <si>
    <t>Box Label</t>
  </si>
  <si>
    <t>&lt;&lt;&lt; Box A</t>
  </si>
  <si>
    <t>&lt;&lt;&lt; Box B</t>
  </si>
  <si>
    <t>&lt;&lt;&lt; Box C</t>
  </si>
  <si>
    <t>&lt;&lt;&lt; Box D</t>
  </si>
  <si>
    <t>&lt;&lt;&lt; Box E</t>
  </si>
  <si>
    <t>&lt;&lt;&lt; Box F</t>
  </si>
  <si>
    <t>&lt;&lt;&lt; Box G</t>
  </si>
  <si>
    <t>&lt;&lt;&lt; Box H</t>
  </si>
  <si>
    <t>&lt;&lt;&lt; Box I</t>
  </si>
  <si>
    <t>&lt;&lt;&lt; Box J</t>
  </si>
  <si>
    <t>&lt;&lt;&lt; Box K</t>
  </si>
  <si>
    <t>&lt;&lt;&lt; Box L</t>
  </si>
  <si>
    <t>&lt;&lt;&lt; Box M</t>
  </si>
  <si>
    <t>Baseline Salary</t>
  </si>
  <si>
    <t>Local Housing Cost Adjustment</t>
  </si>
  <si>
    <t>Adjusted Baseline Salary</t>
  </si>
  <si>
    <t>Years of Experience</t>
  </si>
  <si>
    <t>Years of Related Non-Pastoral Experience</t>
  </si>
  <si>
    <t>Furthered Education</t>
  </si>
  <si>
    <t>Possible Salary Adjustment</t>
  </si>
  <si>
    <t>Salary Adjustment Range</t>
  </si>
  <si>
    <t>Adjust Baseline + Adjustment Range</t>
  </si>
  <si>
    <t>Negotiated Salary for 2023</t>
  </si>
  <si>
    <r>
      <t xml:space="preserve">The Northeastern Ohio Synod Council and Assembly annually set a "Baseline Salary" for rostered ministers guided by the admonition from Scripture:
</t>
    </r>
    <r>
      <rPr>
        <i/>
        <sz val="11"/>
        <color theme="1"/>
        <rFont val="Times New Roman"/>
        <family val="1"/>
      </rPr>
      <t>"Let the elders who rule well be considered worthy of compensation, especially those who labor in preaching and teaching; for the scripture says, 'You shall not muzzle an ox while it is treading out the grain,' and, 'The laborer deserves to be paid'."</t>
    </r>
    <r>
      <rPr>
        <sz val="11"/>
        <color theme="1"/>
        <rFont val="Times New Roman"/>
        <family val="1"/>
      </rPr>
      <t xml:space="preserve"> (1 Timothy 5:17ff.)
The phrase, "who rule well", points to the need for a </t>
    </r>
    <r>
      <rPr>
        <u/>
        <sz val="11"/>
        <color theme="1"/>
        <rFont val="Times New Roman"/>
        <family val="1"/>
      </rPr>
      <t>process of appraising performance</t>
    </r>
    <r>
      <rPr>
        <sz val="11"/>
        <color theme="1"/>
        <rFont val="Times New Roman"/>
        <family val="1"/>
      </rPr>
      <t xml:space="preserve"> in addition to this </t>
    </r>
    <r>
      <rPr>
        <u/>
        <sz val="11"/>
        <color theme="1"/>
        <rFont val="Times New Roman"/>
        <family val="1"/>
      </rPr>
      <t>process of determining appropriate salary ranges</t>
    </r>
    <r>
      <rPr>
        <sz val="11"/>
        <color theme="1"/>
        <rFont val="Times New Roman"/>
        <family val="1"/>
      </rPr>
      <t xml:space="preserve"> as steps toward negotiating actual salary amounts.</t>
    </r>
  </si>
  <si>
    <t>As per most professional salary systems, we seek to reflect the value of acquired skills, wisdom, and experiences which can only come from actual ministry experience.</t>
  </si>
  <si>
    <t>Research has established that vibrant long-term tenures are often associated with congregational growth. We seek to reflect our shared valuing of healthy, longer-tenured ministries with this adjustment.</t>
  </si>
  <si>
    <t>Longevity in Current Call</t>
  </si>
  <si>
    <r>
      <t xml:space="preserve">Increasingly, persons with prior experience in related fields are entering rostered ministry in our church. We seek to acknowledge the value of prior experience </t>
    </r>
    <r>
      <rPr>
        <b/>
        <i/>
        <u/>
        <sz val="12"/>
        <color theme="1"/>
        <rFont val="Times New Roman"/>
        <family val="1"/>
      </rPr>
      <t>in related fields</t>
    </r>
    <r>
      <rPr>
        <sz val="12"/>
        <color theme="1"/>
        <rFont val="Times New Roman"/>
        <family val="1"/>
      </rPr>
      <t xml:space="preserve"> (i.e. teaching, administration, financial, counseling, social work, etc.) with this adjustment.</t>
    </r>
  </si>
  <si>
    <t>The number recorded in Box I, multiplied by the range modifier described to the left, generates the spread of your appropriate salary range.</t>
  </si>
  <si>
    <t>By adding the “Adjusted Baseline Salary” and the “Salary Adjustment Range” figures together, you will be able to determine the upper reaches of an appropriate range of salary for your rostered minister.</t>
  </si>
  <si>
    <t>The sum of Box J and Box K represents a potential high end of the salary range.</t>
  </si>
  <si>
    <r>
      <t xml:space="preserve">Although the Synod may produce helpful guidelines and minimum baselines for appropriate salary, congregations need to annually review and revise salary for their rostered ministerss. </t>
    </r>
    <r>
      <rPr>
        <b/>
        <sz val="12"/>
        <color theme="1"/>
        <rFont val="Times New Roman"/>
        <family val="1"/>
      </rPr>
      <t>Using the figure in Box J as a “low” and Box L as a “high”, it is the responsibility of the congregation to determine actual annual salary.</t>
    </r>
    <r>
      <rPr>
        <sz val="12"/>
        <color theme="1"/>
        <rFont val="Times New Roman"/>
        <family val="1"/>
      </rPr>
      <t xml:space="preserve"> During the course of the conversation between the pastor/deacon and those responsible for the annual review &amp; salary recommendations, consider using the following questions as guides for allowing one to move up or down in the range presented:
</t>
    </r>
    <r>
      <rPr>
        <i/>
        <sz val="12"/>
        <color theme="1"/>
        <rFont val="Times New Roman"/>
        <family val="1"/>
      </rPr>
      <t xml:space="preserve">   • Does our pastor/deacon bring any additional or special skills to the position that ought to be rewarded?
   • Has our pastor/deacon met their mutually-predetermined ministry goals during the past twelve months?
   • Do we expect our pastor/deacon to take on any significant additional responsibilities as a leader of our congregation?
   • Is our pastor/deacon competent in their fulfillment of the ministry position to which they have been called?
   • Are there any unique financial stresses which the congregation ought to seek to accommodate so as to allow
            our pastor to better serve our community?
   • Are there any unique financial stresses which the congregation faces which need to be accommodated?
   • Are we in an area where housing costs are unusually high and special consideration may need to be made?
</t>
    </r>
    <r>
      <rPr>
        <b/>
        <sz val="12"/>
        <color theme="1"/>
        <rFont val="Times New Roman"/>
        <family val="1"/>
      </rPr>
      <t>The figure entered in Box M represents our mutually-negotiated salary for the year 2023.</t>
    </r>
    <r>
      <rPr>
        <sz val="12"/>
        <color theme="1"/>
        <rFont val="Times New Roman"/>
        <family val="1"/>
      </rPr>
      <t xml:space="preserve"> (Adjusted accordingly if the terms of call are less than full time, or if use of a parsonage is included as a portion of compensation.)</t>
    </r>
  </si>
  <si>
    <t>Experience Adjustment</t>
  </si>
  <si>
    <t>Enter the number of years of service as a pastor or deacon (up to a maximum of 40) in Box C.
The number of years of experience is multiplied by $400 to determine the Experience Adjustment to Baseline Salary.</t>
  </si>
  <si>
    <r>
      <t>The Northeastern Ohio Synod covers a large, economically diverse area with housing costs varying widely within and between the city of Cleveland and its suburbs, other cities, and rural areas. A cost of housing adjustment to the base salary acknowledges the diversity.</t>
    </r>
    <r>
      <rPr>
        <sz val="6"/>
        <color theme="1"/>
        <rFont val="Times New Roman"/>
        <family val="1"/>
      </rPr>
      <t xml:space="preserve">
</t>
    </r>
  </si>
  <si>
    <t>In this step, the Local Housing Cost and Experience Adjustments are added to the Baseline Salary to determe the Adjusted Baseline Salary for a pastor or deacon serving in your congregation. Such factors as position, longevity, and additional degree work will be considered in Section 2 below.</t>
  </si>
  <si>
    <r>
      <rPr>
        <b/>
        <sz val="12"/>
        <color theme="1"/>
        <rFont val="Times New Roman"/>
        <family val="1"/>
      </rPr>
      <t xml:space="preserve">Box D is the "Adjusted Baseline Salary" for your congregation. </t>
    </r>
    <r>
      <rPr>
        <sz val="12"/>
        <color theme="1"/>
        <rFont val="Times New Roman"/>
        <family val="1"/>
      </rPr>
      <t>(Note: for some congregations, current salaries may be below this number. If such is the case, the Synod recommends developing a specific and mutually-agreeable written plan to bring salary up to this minimum baseline. If Council, Congregation, or Pastor/Deacon need assistance in this matter, both synodical staff and the synod’s “Compensation Consultants” are able to assist.)</t>
    </r>
  </si>
  <si>
    <t>The credits in Boxes E, F (at 50%), G and H are added together to create a “point total” for Box I.</t>
  </si>
  <si>
    <t>Section 1 (Boxes A, B, C and D) allowed you to determine the appropriate minimum level of salary for your pastor or deacon.</t>
  </si>
  <si>
    <t>This is the amount from Box D in Section 1 of this form.</t>
  </si>
  <si>
    <r>
      <t>Section 2 (Boxes E, F, G, H and I) allowed you to compile a point total which will assist you in quantifying a range for appropriate salary.</t>
    </r>
    <r>
      <rPr>
        <sz val="6"/>
        <color theme="1"/>
        <rFont val="Times New Roman"/>
        <family val="1"/>
      </rPr>
      <t xml:space="preserve">
</t>
    </r>
    <r>
      <rPr>
        <b/>
        <sz val="12"/>
        <color theme="1"/>
        <rFont val="Times New Roman"/>
        <family val="1"/>
      </rPr>
      <t>For the year 2022, the range modifier is set at $400 per point.</t>
    </r>
  </si>
  <si>
    <t>Place an X in the appropriate box.</t>
  </si>
  <si>
    <t>Select Version</t>
  </si>
  <si>
    <t>This worksheet will adjust based on whether it is being used for a Pastor or Deacon. Please place an X in the green box for a Pastor and in the orange box for a Deacon.</t>
  </si>
  <si>
    <t xml:space="preserve">This worksheet is for a Pastor:    </t>
  </si>
  <si>
    <t>This worksheet is for a Deacon:</t>
  </si>
  <si>
    <t>SS Offset</t>
  </si>
  <si>
    <t>As described in the Compensation Standards document, a pastor's compensation is to include a Social Security Offset.</t>
  </si>
  <si>
    <t>Salary</t>
  </si>
  <si>
    <t>Social Security Offset (pastors only)</t>
  </si>
  <si>
    <t>Total Defined Compensation to report for Portico Benefits</t>
  </si>
  <si>
    <t>Social Security Offset
(only applicable to pastors)</t>
  </si>
  <si>
    <t>The appropriate Social Security Offset to accompany the Negotiated Salary would be:</t>
  </si>
  <si>
    <t>Summary</t>
  </si>
  <si>
    <t>Negotiated Salary (Box M)</t>
  </si>
  <si>
    <t>2023 Compensation Calculations</t>
  </si>
  <si>
    <t>NOTE: Enter appropriate values in the blue boxes.
All other calculations are automatic.</t>
  </si>
  <si>
    <t>Total Cash Compensation</t>
  </si>
  <si>
    <t>Pension, Health, and Other Benefits</t>
  </si>
  <si>
    <t>The Portico cost calculator can be found at:</t>
  </si>
  <si>
    <t>https://employerlink.porticobenefits.org/resources/calculators/benefit-costs-calculator#/</t>
  </si>
  <si>
    <t>You will need to know the rostered minister's birthdate.</t>
  </si>
  <si>
    <t>Synod:</t>
  </si>
  <si>
    <t>Northeastern Ohio Synod - 6E</t>
  </si>
  <si>
    <t>Defined Compensation:</t>
  </si>
  <si>
    <t>Health Insurance</t>
  </si>
  <si>
    <t>Retirement</t>
  </si>
  <si>
    <t>Disability</t>
  </si>
  <si>
    <t>Portico Benefits Total:</t>
  </si>
  <si>
    <t>Cost of additional benefits:</t>
  </si>
  <si>
    <t>Total Cost of Benefits</t>
  </si>
  <si>
    <t>Other Expenses</t>
  </si>
  <si>
    <t>Mileage Reimbursement</t>
  </si>
  <si>
    <t>Other Professional Expenses</t>
  </si>
  <si>
    <t>Continuing Education</t>
  </si>
  <si>
    <t>Cell Phone Reimbursement</t>
  </si>
  <si>
    <t>Total Cost of Other Expenses</t>
  </si>
  <si>
    <t>Total Compensation, Benefits,</t>
  </si>
  <si>
    <t>and Other Expenses</t>
  </si>
  <si>
    <t>Benefits &amp; Expenses Summary</t>
  </si>
  <si>
    <t>(at IRS approved rate per mile)</t>
  </si>
  <si>
    <t>(minimum of $700 recommended)</t>
  </si>
  <si>
    <t>Proposed Compensation, Benefits, and Expenses</t>
  </si>
  <si>
    <t xml:space="preserve"> Cash Compensation</t>
  </si>
  <si>
    <t>Total Portico Benefits</t>
  </si>
  <si>
    <t>Other Benefits</t>
  </si>
  <si>
    <t xml:space="preserve"> Benefits</t>
  </si>
  <si>
    <t>Professional Expenses</t>
  </si>
  <si>
    <t>Other</t>
  </si>
  <si>
    <t xml:space="preserve"> Professional Expenses</t>
  </si>
  <si>
    <t xml:space="preserve"> Total Compensation, Benefits, and Expenses</t>
  </si>
  <si>
    <t>Cash Compensation to Pastor/Deacon</t>
  </si>
  <si>
    <t>Basic Group Life</t>
  </si>
  <si>
    <t>(recommended 12% - minimum 10%)</t>
  </si>
  <si>
    <t>Retirement Percentage:</t>
  </si>
  <si>
    <r>
      <t>Additional Benefits (</t>
    </r>
    <r>
      <rPr>
        <i/>
        <sz val="12"/>
        <color theme="1"/>
        <rFont val="Calibri"/>
        <family val="2"/>
        <scheme val="minor"/>
      </rPr>
      <t>if applicable, please list and indicate cost</t>
    </r>
    <r>
      <rPr>
        <sz val="12"/>
        <color theme="1"/>
        <rFont val="Calibri"/>
        <family val="2"/>
        <scheme val="minor"/>
      </rPr>
      <t>)</t>
    </r>
  </si>
  <si>
    <t>Item 1</t>
  </si>
  <si>
    <t>Item 2</t>
  </si>
  <si>
    <t>Item 3</t>
  </si>
  <si>
    <t>Health Insurance, Retirement, and Other Benefits</t>
  </si>
  <si>
    <t>Compensation Modifier</t>
  </si>
  <si>
    <t>If this is not a full-time call, enter the percentage modifer in the pink box and the modified numbers will be transferred to the report on the next tab.</t>
  </si>
  <si>
    <t>Compensation Modifier:</t>
  </si>
  <si>
    <t>Shared Calls</t>
  </si>
  <si>
    <t>If the expenses for this call are shared by multiple congregations, enter the congregation names and appropriate percentages below.</t>
  </si>
  <si>
    <t>Percentage:</t>
  </si>
  <si>
    <t>Cong A</t>
  </si>
  <si>
    <t>Cong B</t>
  </si>
  <si>
    <t>Cong C</t>
  </si>
  <si>
    <t>Total</t>
  </si>
  <si>
    <t xml:space="preserve">Name of Cong A: </t>
  </si>
  <si>
    <t xml:space="preserve">Name of Cong B: </t>
  </si>
  <si>
    <t xml:space="preserve">Name of Cong C: </t>
  </si>
  <si>
    <t>Percentage</t>
  </si>
  <si>
    <t xml:space="preserve"> Total Compensation,</t>
  </si>
  <si>
    <t>Benefits, and Expenses</t>
  </si>
  <si>
    <t>Health Insurance, Retirement,</t>
  </si>
  <si>
    <t>and Other Benefits</t>
  </si>
  <si>
    <t>Social Security Offset (pastors)</t>
  </si>
  <si>
    <t>Cash Compensation</t>
  </si>
  <si>
    <t>to Pastor/Deacon</t>
  </si>
  <si>
    <t>With the exception of the red-bordered Compensation Modifer found below in the pink cell - and the orange congregation names and percentages in the Shared Calls section - you should only enter numbers in the blue shaded cells. Amounts for the Portico benefits are found by visiting the Portico calculator using the link below.</t>
  </si>
  <si>
    <r>
      <t>Determine the median single-family home price within your community (the primary zip code(s) served by your congregation) by contacting a local realtor or using the Internet (see the Compensation Standards document for guidance).</t>
    </r>
    <r>
      <rPr>
        <sz val="6"/>
        <color theme="1"/>
        <rFont val="Times New Roman"/>
        <family val="1"/>
      </rPr>
      <t xml:space="preserve">
</t>
    </r>
    <r>
      <rPr>
        <b/>
        <sz val="12"/>
        <color theme="1"/>
        <rFont val="Times New Roman"/>
        <family val="1"/>
      </rPr>
      <t>Enter this median home price in Box B.</t>
    </r>
    <r>
      <rPr>
        <sz val="6"/>
        <color theme="1"/>
        <rFont val="Times New Roman"/>
        <family val="1"/>
      </rPr>
      <t xml:space="preserve">
</t>
    </r>
    <r>
      <rPr>
        <sz val="12"/>
        <color theme="1"/>
        <rFont val="Times New Roman"/>
        <family val="1"/>
      </rPr>
      <t>If this number exceeds $100,000 (cost of housing considered within Base Salary), the amount that exceeds $100,000 will be multiplied by 8% and then added to the baseline salary to adjust for the higher costs of purchasing a home in that area.</t>
    </r>
  </si>
  <si>
    <t>Credit one point for each year of service in one’s current call in Box E. NOTE: in calculating total points in Box I, the value in Box E will be capped at a value of 10.
(Enter 0 when establishing compensation for a new call)</t>
  </si>
  <si>
    <t>Enter in Box F the years of prior experience in a related field for which credit is being given.
NOTE: the congregation and pastor/deacon are to discuss the relevance of prior experience and agree to a full or fractional value for that experience.</t>
  </si>
  <si>
    <t>Pastoral leaders of large churches often bear increased responsibilities and expectations. Similarly, leaders in a multi-congregation call also oversee or supervise additional staff. We seek to acknowledge such with this adjustment.</t>
  </si>
  <si>
    <r>
      <t xml:space="preserve">Credit is given for primary leadership in congregations where the staff exceeds the minimum needs of a congregation (worship musician and office support). Credit at least one point for each staff member beyond the pastor, worship musician, and secretarial support. In multi-congregation calls, credit one point for </t>
    </r>
    <r>
      <rPr>
        <i/>
        <u/>
        <sz val="12"/>
        <color theme="1"/>
        <rFont val="Times New Roman"/>
        <family val="1"/>
      </rPr>
      <t>every</t>
    </r>
    <r>
      <rPr>
        <sz val="12"/>
        <color theme="1"/>
        <rFont val="Times New Roman"/>
        <family val="1"/>
      </rPr>
      <t xml:space="preserve"> staff member in each additional congregation.</t>
    </r>
  </si>
  <si>
    <t>Staff and/or Multiple Congregation Leadership</t>
  </si>
  <si>
    <t>Boxes D-H seek to quantify the value of experience, responsibilities, and education a rostered minister may possess. These factors will become a basis for possible adjustment to salary.</t>
  </si>
  <si>
    <t>Cash Compensation (transferred from a previous tab)</t>
  </si>
  <si>
    <t>Negotiated/Adjusted Salary</t>
  </si>
  <si>
    <t>This worksheet has been created to simplify the calculations for compensation, benefits, and expenses for pastors and deacons. Please refer to the latest verstion of the Northeastern Ohio Synod Standards and Resources for Compensation for Rostered Ministers for guidance in using this worksheet.
The worksheet consists of multiple tabs as follows:</t>
  </si>
  <si>
    <t>Compensation Calculations</t>
  </si>
  <si>
    <t>Printable Summary</t>
  </si>
  <si>
    <t>Compensation, Benefits, &amp; Expenses Calculation Worksheet</t>
  </si>
  <si>
    <r>
      <t xml:space="preserve">Benefits &amp; Expenses
</t>
    </r>
    <r>
      <rPr>
        <sz val="12"/>
        <color theme="1"/>
        <rFont val="Calibri"/>
        <family val="2"/>
        <scheme val="minor"/>
      </rPr>
      <t>(with calculations for part time and shared calls)</t>
    </r>
  </si>
  <si>
    <t>This tab is to be used for new calls and to periodically compare compensation to the synod standards to ensure that a pastor or deacon is being equitably compensated.</t>
  </si>
  <si>
    <t>This tab may be used to print out a summary of compensation, benefits, and expenses (such as for use at a congregation or council meeting).</t>
  </si>
  <si>
    <t>Similar to the previous tab, this tab provides a printable summary in situations where the costs of compensation, benefits, and expenses are apportioned to multiple congregations.</t>
  </si>
  <si>
    <t>Printable Summary - 
Shared Call</t>
  </si>
  <si>
    <r>
      <t>Baseline Salary includes what has historically been calculated separately for salary and housing - and assumes up to $100,000 as the median price of a home in the service area of the congregation. (It is important to note that the amount of salary actually designated as "Housing Allowance" for pastors must be recorded as a vote of the congregation’s Council/Board prior to the beginning of the year.)</t>
    </r>
    <r>
      <rPr>
        <sz val="6"/>
        <color theme="1"/>
        <rFont val="Times New Roman"/>
        <family val="1"/>
      </rPr>
      <t xml:space="preserve">
</t>
    </r>
    <r>
      <rPr>
        <b/>
        <sz val="13"/>
        <color theme="1"/>
        <rFont val="Times New Roman"/>
        <family val="1"/>
      </rPr>
      <t>For the year 2023 the baseline for pastors is $57,000 and for deacons is $53,000.</t>
    </r>
    <r>
      <rPr>
        <b/>
        <sz val="6"/>
        <color theme="1"/>
        <rFont val="Times New Roman"/>
        <family val="1"/>
      </rPr>
      <t xml:space="preserve">
</t>
    </r>
    <r>
      <rPr>
        <sz val="6"/>
        <color theme="1"/>
        <rFont val="Times New Roman"/>
        <family val="1"/>
      </rPr>
      <t xml:space="preserve"> 
</t>
    </r>
    <r>
      <rPr>
        <sz val="12"/>
        <color theme="1"/>
        <rFont val="Times New Roman"/>
        <family val="1"/>
      </rPr>
      <t>(If the terms of call are less than full time, or if use of a parsonage is included as a portion of compensation, this figure should be adjusted accordingly in consultation with synod staff.)</t>
    </r>
  </si>
  <si>
    <t>Credit is given (5 points) to those who have taken the time and made the commitment to earn a degree beyond the minimum Masters level required of a pastor or deacon. (such as M.Th., D.Min., P.H.D., S.T.M., etc.) If such is the case, enter 5 points for furthered education in Box H.</t>
  </si>
  <si>
    <t>Use this tab to summarize the cost of Benefits and Expenses. A link is provided to the Portico benefits calculator. The salary amount is transferred from the calculations tab. This tab can also be used to calculate part time calls and apportioning expenses for shared calls.</t>
  </si>
  <si>
    <t>X</t>
  </si>
  <si>
    <t>Social Security Offset (Pastors)</t>
  </si>
  <si>
    <t>Notes / Comments</t>
  </si>
  <si>
    <t>Version: 10/20/2022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</si>
</sst>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b/>
      <sz val="14"/>
      <color theme="1"/>
      <name val="Arial"/>
      <family val="2"/>
    </font>
    <font>
      <b/>
      <u/>
      <sz val="14"/>
      <color theme="1"/>
      <name val="Arial"/>
      <family val="2"/>
    </font>
    <font>
      <sz val="11"/>
      <color theme="1"/>
      <name val="Times New Roman"/>
      <family val="1"/>
    </font>
    <font>
      <i/>
      <sz val="11"/>
      <color theme="1"/>
      <name val="Times New Roman"/>
      <family val="1"/>
    </font>
    <font>
      <sz val="12"/>
      <color theme="1"/>
      <name val="Times New Roman"/>
      <family val="1"/>
    </font>
    <font>
      <b/>
      <sz val="12"/>
      <color theme="1"/>
      <name val="Times New Roman"/>
      <family val="1"/>
    </font>
    <font>
      <i/>
      <sz val="12"/>
      <color theme="1"/>
      <name val="Times New Roman"/>
      <family val="1"/>
    </font>
    <font>
      <u/>
      <sz val="11"/>
      <color theme="1"/>
      <name val="Times New Roman"/>
      <family val="1"/>
    </font>
    <font>
      <b/>
      <sz val="12"/>
      <color theme="1"/>
      <name val="Arial"/>
      <family val="2"/>
    </font>
    <font>
      <b/>
      <sz val="13"/>
      <color theme="1"/>
      <name val="Times New Roman"/>
      <family val="1"/>
    </font>
    <font>
      <sz val="6"/>
      <color theme="1"/>
      <name val="Times New Roman"/>
      <family val="1"/>
    </font>
    <font>
      <b/>
      <sz val="6"/>
      <color theme="1"/>
      <name val="Times New Roman"/>
      <family val="1"/>
    </font>
    <font>
      <sz val="14"/>
      <color theme="1"/>
      <name val="Arial"/>
      <family val="2"/>
    </font>
    <font>
      <b/>
      <i/>
      <u/>
      <sz val="12"/>
      <color theme="1"/>
      <name val="Times New Roman"/>
      <family val="1"/>
    </font>
    <font>
      <b/>
      <sz val="14"/>
      <color theme="1"/>
      <name val="Times New Roman"/>
      <family val="1"/>
    </font>
    <font>
      <b/>
      <sz val="24"/>
      <color theme="1"/>
      <name val="Times New Roman"/>
      <family val="1"/>
    </font>
    <font>
      <b/>
      <i/>
      <sz val="11"/>
      <color theme="1"/>
      <name val="Calibri"/>
      <family val="2"/>
      <scheme val="minor"/>
    </font>
    <font>
      <u/>
      <sz val="11"/>
      <color theme="10"/>
      <name val="Calibri"/>
      <family val="2"/>
      <scheme val="minor"/>
    </font>
    <font>
      <sz val="12"/>
      <color theme="1"/>
      <name val="Calibri"/>
      <family val="2"/>
      <scheme val="minor"/>
    </font>
    <font>
      <sz val="12"/>
      <color theme="1"/>
      <name val="Arial"/>
      <family val="2"/>
    </font>
    <font>
      <b/>
      <sz val="14"/>
      <color theme="1"/>
      <name val="Calibri"/>
      <family val="2"/>
      <scheme val="minor"/>
    </font>
    <font>
      <b/>
      <sz val="12"/>
      <color theme="1"/>
      <name val="Calibri"/>
      <family val="2"/>
      <scheme val="minor"/>
    </font>
    <font>
      <i/>
      <sz val="12"/>
      <color theme="1"/>
      <name val="Calibri"/>
      <family val="2"/>
      <scheme val="minor"/>
    </font>
    <font>
      <b/>
      <sz val="18"/>
      <color theme="1"/>
      <name val="Calibri"/>
      <family val="2"/>
      <scheme val="minor"/>
    </font>
    <font>
      <sz val="14"/>
      <color theme="1"/>
      <name val="Calibri"/>
      <family val="2"/>
      <scheme val="minor"/>
    </font>
    <font>
      <b/>
      <sz val="16"/>
      <color theme="1"/>
      <name val="Calibri"/>
      <family val="2"/>
      <scheme val="minor"/>
    </font>
    <font>
      <i/>
      <u/>
      <sz val="12"/>
      <color theme="1"/>
      <name val="Times New Roman"/>
      <family val="1"/>
    </font>
    <font>
      <b/>
      <sz val="18"/>
      <color theme="1"/>
      <name val="Arial"/>
      <family val="2"/>
    </font>
    <font>
      <b/>
      <sz val="16"/>
      <color theme="1"/>
      <name val="Arial"/>
      <family val="2"/>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66FF99"/>
        <bgColor indexed="64"/>
      </patternFill>
    </fill>
    <fill>
      <patternFill patternType="solid">
        <fgColor rgb="FFFFCC99"/>
        <bgColor indexed="64"/>
      </patternFill>
    </fill>
    <fill>
      <patternFill patternType="solid">
        <fgColor rgb="FF66FFFF"/>
        <bgColor indexed="64"/>
      </patternFill>
    </fill>
    <fill>
      <patternFill patternType="solid">
        <fgColor rgb="FFFFCCCC"/>
        <bgColor indexed="64"/>
      </patternFill>
    </fill>
    <fill>
      <patternFill patternType="solid">
        <fgColor rgb="FFCCFFCC"/>
        <bgColor indexed="64"/>
      </patternFill>
    </fill>
    <fill>
      <patternFill patternType="solid">
        <fgColor rgb="FFCCCC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rgb="FFC00000"/>
      </left>
      <right style="thick">
        <color rgb="FFC00000"/>
      </right>
      <top style="thick">
        <color rgb="FFC00000"/>
      </top>
      <bottom style="thick">
        <color rgb="FFC00000"/>
      </bottom>
      <diagonal/>
    </border>
    <border>
      <left style="thick">
        <color rgb="FFC00000"/>
      </left>
      <right style="thin">
        <color indexed="64"/>
      </right>
      <top style="thick">
        <color rgb="FFC00000"/>
      </top>
      <bottom style="thick">
        <color rgb="FFC00000"/>
      </bottom>
      <diagonal/>
    </border>
    <border>
      <left style="thin">
        <color indexed="64"/>
      </left>
      <right style="thin">
        <color indexed="64"/>
      </right>
      <top style="thick">
        <color rgb="FFC00000"/>
      </top>
      <bottom style="thick">
        <color rgb="FFC00000"/>
      </bottom>
      <diagonal/>
    </border>
    <border>
      <left style="thin">
        <color indexed="64"/>
      </left>
      <right style="thick">
        <color rgb="FFC00000"/>
      </right>
      <top style="thick">
        <color rgb="FFC00000"/>
      </top>
      <bottom style="thick">
        <color rgb="FFC00000"/>
      </bottom>
      <diagonal/>
    </border>
  </borders>
  <cellStyleXfs count="2">
    <xf numFmtId="0" fontId="0" fillId="0" borderId="0"/>
    <xf numFmtId="0" fontId="19" fillId="0" borderId="0" applyNumberFormat="0" applyFill="0" applyBorder="0" applyAlignment="0" applyProtection="0"/>
  </cellStyleXfs>
  <cellXfs count="115">
    <xf numFmtId="0" fontId="0" fillId="0" borderId="0" xfId="0"/>
    <xf numFmtId="49" fontId="0" fillId="0" borderId="0" xfId="0" applyNumberFormat="1" applyAlignment="1">
      <alignment vertical="top" wrapText="1"/>
    </xf>
    <xf numFmtId="0" fontId="1" fillId="0" borderId="0" xfId="0" applyFont="1"/>
    <xf numFmtId="0" fontId="2" fillId="0" borderId="0" xfId="0" applyFont="1" applyAlignment="1">
      <alignment vertical="center"/>
    </xf>
    <xf numFmtId="0" fontId="0" fillId="0" borderId="0" xfId="0" applyAlignment="1">
      <alignment horizontal="center" vertical="center"/>
    </xf>
    <xf numFmtId="0" fontId="0" fillId="0" borderId="0" xfId="0" applyAlignment="1">
      <alignment horizontal="center"/>
    </xf>
    <xf numFmtId="49" fontId="2" fillId="2" borderId="1" xfId="0" applyNumberFormat="1" applyFont="1" applyFill="1" applyBorder="1" applyAlignment="1">
      <alignment vertical="center" wrapText="1"/>
    </xf>
    <xf numFmtId="49" fontId="2" fillId="2" borderId="1" xfId="0" applyNumberFormat="1" applyFont="1" applyFill="1" applyBorder="1" applyAlignment="1">
      <alignment horizontal="center" vertical="center" wrapText="1"/>
    </xf>
    <xf numFmtId="49" fontId="10" fillId="0" borderId="1" xfId="0" applyNumberFormat="1" applyFont="1" applyBorder="1" applyAlignment="1">
      <alignment vertical="top" wrapText="1"/>
    </xf>
    <xf numFmtId="49" fontId="6" fillId="0" borderId="1" xfId="0" applyNumberFormat="1" applyFont="1" applyBorder="1" applyAlignment="1">
      <alignment vertical="top" wrapText="1"/>
    </xf>
    <xf numFmtId="49" fontId="2" fillId="0" borderId="1" xfId="0" applyNumberFormat="1" applyFont="1" applyBorder="1" applyAlignment="1">
      <alignment vertical="center" wrapText="1"/>
    </xf>
    <xf numFmtId="0" fontId="2" fillId="2" borderId="1" xfId="0" applyFont="1" applyFill="1" applyBorder="1" applyAlignment="1">
      <alignment vertical="center"/>
    </xf>
    <xf numFmtId="49" fontId="2" fillId="2" borderId="1" xfId="0" applyNumberFormat="1" applyFont="1" applyFill="1" applyBorder="1" applyAlignment="1">
      <alignment wrapText="1"/>
    </xf>
    <xf numFmtId="49" fontId="2" fillId="2" borderId="1" xfId="0" applyNumberFormat="1" applyFont="1" applyFill="1" applyBorder="1" applyAlignment="1">
      <alignment horizontal="center" wrapText="1"/>
    </xf>
    <xf numFmtId="3" fontId="14" fillId="0" borderId="1" xfId="0" applyNumberFormat="1" applyFont="1" applyBorder="1" applyAlignment="1">
      <alignment horizontal="center" vertical="center"/>
    </xf>
    <xf numFmtId="49" fontId="6" fillId="0" borderId="1" xfId="0" quotePrefix="1" applyNumberFormat="1" applyFont="1" applyBorder="1" applyAlignment="1">
      <alignment horizontal="right" vertical="center" wrapText="1" indent="2"/>
    </xf>
    <xf numFmtId="49" fontId="14" fillId="0" borderId="1" xfId="0" applyNumberFormat="1" applyFont="1" applyBorder="1" applyAlignment="1">
      <alignment horizontal="center" vertical="center" wrapText="1"/>
    </xf>
    <xf numFmtId="49" fontId="10" fillId="0" borderId="0" xfId="0" applyNumberFormat="1" applyFont="1" applyAlignment="1">
      <alignment vertical="top" wrapText="1"/>
    </xf>
    <xf numFmtId="49" fontId="6" fillId="0" borderId="0" xfId="0" applyNumberFormat="1" applyFont="1" applyAlignment="1">
      <alignment vertical="top" wrapText="1"/>
    </xf>
    <xf numFmtId="49" fontId="2" fillId="0" borderId="0" xfId="0" applyNumberFormat="1" applyFont="1" applyAlignment="1">
      <alignment vertical="center" wrapText="1"/>
    </xf>
    <xf numFmtId="3" fontId="14" fillId="0" borderId="0" xfId="0" applyNumberFormat="1" applyFont="1" applyAlignment="1">
      <alignment horizontal="center" vertical="center"/>
    </xf>
    <xf numFmtId="49" fontId="16" fillId="2"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49" fontId="17" fillId="0" borderId="0" xfId="0" applyNumberFormat="1" applyFont="1" applyAlignment="1">
      <alignment vertical="center"/>
    </xf>
    <xf numFmtId="3" fontId="14" fillId="0" borderId="1" xfId="0" applyNumberFormat="1" applyFont="1" applyBorder="1" applyAlignment="1">
      <alignment horizontal="center" vertical="center" wrapText="1"/>
    </xf>
    <xf numFmtId="49" fontId="18" fillId="3" borderId="0" xfId="0" applyNumberFormat="1" applyFont="1" applyFill="1" applyAlignment="1">
      <alignment horizontal="center" vertical="center" wrapText="1"/>
    </xf>
    <xf numFmtId="0" fontId="2" fillId="0" borderId="0" xfId="0" applyFont="1"/>
    <xf numFmtId="0" fontId="20" fillId="0" borderId="0" xfId="0" applyFont="1"/>
    <xf numFmtId="3" fontId="20" fillId="0" borderId="0" xfId="0" applyNumberFormat="1" applyFont="1"/>
    <xf numFmtId="0" fontId="22" fillId="0" borderId="0" xfId="0" applyFont="1"/>
    <xf numFmtId="0" fontId="20" fillId="0" borderId="0" xfId="0" applyFont="1" applyAlignment="1">
      <alignment horizontal="right"/>
    </xf>
    <xf numFmtId="3" fontId="20" fillId="0" borderId="7" xfId="0" applyNumberFormat="1" applyFont="1" applyBorder="1"/>
    <xf numFmtId="0" fontId="23" fillId="0" borderId="0" xfId="0" applyFont="1" applyAlignment="1">
      <alignment horizontal="right"/>
    </xf>
    <xf numFmtId="3" fontId="23" fillId="0" borderId="0" xfId="0" applyNumberFormat="1" applyFont="1"/>
    <xf numFmtId="0" fontId="19" fillId="0" borderId="0" xfId="1"/>
    <xf numFmtId="0" fontId="24" fillId="0" borderId="0" xfId="0" applyFont="1"/>
    <xf numFmtId="3" fontId="20" fillId="0" borderId="8" xfId="0" applyNumberFormat="1" applyFont="1" applyBorder="1"/>
    <xf numFmtId="0" fontId="23" fillId="0" borderId="0" xfId="0" applyFont="1" applyAlignment="1">
      <alignment horizontal="left"/>
    </xf>
    <xf numFmtId="3" fontId="24" fillId="0" borderId="0" xfId="0" applyNumberFormat="1" applyFont="1"/>
    <xf numFmtId="0" fontId="25" fillId="0" borderId="0" xfId="0" applyFont="1"/>
    <xf numFmtId="3" fontId="26" fillId="0" borderId="0" xfId="0" applyNumberFormat="1" applyFont="1"/>
    <xf numFmtId="0" fontId="26" fillId="0" borderId="0" xfId="0" applyFont="1"/>
    <xf numFmtId="0" fontId="27" fillId="0" borderId="0" xfId="0" applyFont="1"/>
    <xf numFmtId="3" fontId="26" fillId="0" borderId="4" xfId="0" applyNumberFormat="1" applyFont="1" applyBorder="1"/>
    <xf numFmtId="3" fontId="22" fillId="0" borderId="0" xfId="0" applyNumberFormat="1" applyFont="1"/>
    <xf numFmtId="3" fontId="27" fillId="0" borderId="0" xfId="0" applyNumberFormat="1" applyFont="1"/>
    <xf numFmtId="0" fontId="21" fillId="0" borderId="0" xfId="0" applyFont="1" applyAlignment="1">
      <alignment vertical="top" wrapText="1"/>
    </xf>
    <xf numFmtId="49" fontId="2" fillId="4" borderId="1" xfId="0" applyNumberFormat="1" applyFont="1" applyFill="1" applyBorder="1" applyAlignment="1" applyProtection="1">
      <alignment horizontal="center" vertical="center" wrapText="1"/>
      <protection locked="0"/>
    </xf>
    <xf numFmtId="49" fontId="2" fillId="5" borderId="1" xfId="0" applyNumberFormat="1" applyFont="1" applyFill="1" applyBorder="1" applyAlignment="1" applyProtection="1">
      <alignment horizontal="center" vertical="center" wrapText="1"/>
      <protection locked="0"/>
    </xf>
    <xf numFmtId="3" fontId="14" fillId="3" borderId="1" xfId="0" applyNumberFormat="1" applyFont="1" applyFill="1" applyBorder="1" applyAlignment="1" applyProtection="1">
      <alignment horizontal="center" vertical="center"/>
      <protection locked="0"/>
    </xf>
    <xf numFmtId="3" fontId="20" fillId="6" borderId="0" xfId="0" applyNumberFormat="1" applyFont="1" applyFill="1" applyProtection="1">
      <protection locked="0"/>
    </xf>
    <xf numFmtId="3" fontId="20" fillId="6" borderId="4" xfId="0" applyNumberFormat="1" applyFont="1" applyFill="1" applyBorder="1" applyProtection="1">
      <protection locked="0"/>
    </xf>
    <xf numFmtId="0" fontId="20" fillId="0" borderId="0" xfId="0" applyFont="1" applyAlignment="1" applyProtection="1">
      <alignment horizontal="right"/>
      <protection locked="0"/>
    </xf>
    <xf numFmtId="3" fontId="20" fillId="0" borderId="0" xfId="0" applyNumberFormat="1" applyFont="1" applyAlignment="1">
      <alignment horizontal="right"/>
    </xf>
    <xf numFmtId="3" fontId="20" fillId="7" borderId="0" xfId="0" applyNumberFormat="1" applyFont="1" applyFill="1"/>
    <xf numFmtId="0" fontId="20" fillId="7" borderId="0" xfId="0" applyFont="1" applyFill="1"/>
    <xf numFmtId="3" fontId="20" fillId="7" borderId="7" xfId="0" applyNumberFormat="1" applyFont="1" applyFill="1" applyBorder="1"/>
    <xf numFmtId="3" fontId="23" fillId="7" borderId="0" xfId="0" applyNumberFormat="1" applyFont="1" applyFill="1"/>
    <xf numFmtId="3" fontId="20" fillId="5" borderId="7" xfId="0" applyNumberFormat="1" applyFont="1" applyFill="1" applyBorder="1"/>
    <xf numFmtId="3" fontId="20" fillId="5" borderId="4" xfId="0" applyNumberFormat="1" applyFont="1" applyFill="1" applyBorder="1"/>
    <xf numFmtId="0" fontId="26" fillId="0" borderId="0" xfId="0" applyFont="1" applyAlignment="1">
      <alignment horizontal="right"/>
    </xf>
    <xf numFmtId="0" fontId="22" fillId="0" borderId="0" xfId="0" applyFont="1" applyAlignment="1">
      <alignment horizontal="right"/>
    </xf>
    <xf numFmtId="0" fontId="27" fillId="0" borderId="0" xfId="0" applyFont="1" applyAlignment="1">
      <alignment horizontal="right"/>
    </xf>
    <xf numFmtId="0" fontId="26" fillId="0" borderId="9" xfId="0" applyFont="1" applyBorder="1"/>
    <xf numFmtId="9" fontId="26" fillId="0" borderId="9" xfId="0" applyNumberFormat="1" applyFont="1" applyBorder="1"/>
    <xf numFmtId="3" fontId="26" fillId="0" borderId="9" xfId="0" applyNumberFormat="1" applyFont="1" applyBorder="1"/>
    <xf numFmtId="3" fontId="22" fillId="0" borderId="9" xfId="0" applyNumberFormat="1" applyFont="1" applyBorder="1"/>
    <xf numFmtId="3" fontId="22" fillId="0" borderId="3" xfId="0" applyNumberFormat="1" applyFont="1" applyBorder="1"/>
    <xf numFmtId="3" fontId="22" fillId="0" borderId="7" xfId="0" applyNumberFormat="1" applyFont="1" applyBorder="1"/>
    <xf numFmtId="0" fontId="26" fillId="0" borderId="10" xfId="0" applyFont="1" applyBorder="1"/>
    <xf numFmtId="0" fontId="26" fillId="0" borderId="11" xfId="0" applyFont="1" applyBorder="1"/>
    <xf numFmtId="0" fontId="26" fillId="0" borderId="6" xfId="0" applyFont="1" applyBorder="1"/>
    <xf numFmtId="0" fontId="26" fillId="0" borderId="12" xfId="0" applyFont="1" applyBorder="1" applyAlignment="1">
      <alignment vertical="center"/>
    </xf>
    <xf numFmtId="0" fontId="20" fillId="0" borderId="13" xfId="0" applyFont="1" applyBorder="1"/>
    <xf numFmtId="0" fontId="20" fillId="0" borderId="14" xfId="0" applyFont="1" applyBorder="1"/>
    <xf numFmtId="0" fontId="20" fillId="0" borderId="15" xfId="0" applyFont="1" applyBorder="1"/>
    <xf numFmtId="0" fontId="20" fillId="0" borderId="16" xfId="0" applyFont="1" applyBorder="1"/>
    <xf numFmtId="0" fontId="20" fillId="0" borderId="17" xfId="0" applyFont="1" applyBorder="1"/>
    <xf numFmtId="9" fontId="20" fillId="5" borderId="0" xfId="0" applyNumberFormat="1" applyFont="1" applyFill="1" applyAlignment="1">
      <alignment horizontal="right"/>
    </xf>
    <xf numFmtId="3" fontId="20" fillId="5" borderId="0" xfId="0" applyNumberFormat="1" applyFont="1" applyFill="1"/>
    <xf numFmtId="0" fontId="20" fillId="5" borderId="0" xfId="0" applyFont="1" applyFill="1"/>
    <xf numFmtId="3" fontId="23" fillId="5" borderId="0" xfId="0" applyNumberFormat="1" applyFont="1" applyFill="1"/>
    <xf numFmtId="0" fontId="20" fillId="0" borderId="18" xfId="0" applyFont="1" applyBorder="1"/>
    <xf numFmtId="0" fontId="20" fillId="0" borderId="8" xfId="0" applyFont="1" applyBorder="1"/>
    <xf numFmtId="0" fontId="20" fillId="0" borderId="19" xfId="0" applyFont="1" applyBorder="1"/>
    <xf numFmtId="9" fontId="20" fillId="7" borderId="20" xfId="0" applyNumberFormat="1" applyFont="1" applyFill="1" applyBorder="1" applyProtection="1">
      <protection locked="0"/>
    </xf>
    <xf numFmtId="9" fontId="20" fillId="5" borderId="20" xfId="0" applyNumberFormat="1" applyFont="1" applyFill="1" applyBorder="1" applyProtection="1">
      <protection locked="0"/>
    </xf>
    <xf numFmtId="0" fontId="26" fillId="0" borderId="7" xfId="0" applyFont="1" applyBorder="1"/>
    <xf numFmtId="0" fontId="20" fillId="0" borderId="0" xfId="0" applyFont="1" applyAlignment="1">
      <alignment vertical="top" wrapText="1"/>
    </xf>
    <xf numFmtId="0" fontId="29" fillId="0" borderId="0" xfId="0" applyFont="1"/>
    <xf numFmtId="0" fontId="30" fillId="0" borderId="0" xfId="0" applyFont="1" applyAlignment="1">
      <alignment vertical="top"/>
    </xf>
    <xf numFmtId="0" fontId="20" fillId="0" borderId="0" xfId="0" applyFont="1" applyAlignment="1">
      <alignment vertical="top"/>
    </xf>
    <xf numFmtId="0" fontId="23" fillId="0" borderId="0" xfId="0" applyFont="1" applyAlignment="1">
      <alignment vertical="top"/>
    </xf>
    <xf numFmtId="0" fontId="23" fillId="3" borderId="0" xfId="0" applyFont="1" applyFill="1" applyAlignment="1">
      <alignment vertical="top"/>
    </xf>
    <xf numFmtId="0" fontId="23" fillId="8" borderId="0" xfId="0" applyFont="1" applyFill="1" applyAlignment="1">
      <alignment vertical="top" wrapText="1"/>
    </xf>
    <xf numFmtId="0" fontId="23" fillId="9" borderId="0" xfId="0" applyFont="1" applyFill="1" applyAlignment="1">
      <alignment vertical="top"/>
    </xf>
    <xf numFmtId="0" fontId="23" fillId="5" borderId="0" xfId="0" applyFont="1" applyFill="1" applyAlignment="1">
      <alignment vertical="top" wrapText="1"/>
    </xf>
    <xf numFmtId="0" fontId="14" fillId="3" borderId="1" xfId="0" applyFont="1" applyFill="1" applyBorder="1" applyAlignment="1" applyProtection="1">
      <alignment horizontal="left" vertical="center" wrapText="1"/>
      <protection locked="0"/>
    </xf>
    <xf numFmtId="0" fontId="20" fillId="0" borderId="0" xfId="0" applyFont="1" applyAlignment="1">
      <alignment vertical="top" wrapText="1"/>
    </xf>
    <xf numFmtId="0" fontId="0" fillId="0" borderId="0" xfId="0" applyAlignment="1">
      <alignment vertical="top" wrapText="1"/>
    </xf>
    <xf numFmtId="3" fontId="14" fillId="0" borderId="5" xfId="0" applyNumberFormat="1" applyFont="1" applyBorder="1" applyAlignment="1">
      <alignment horizontal="center" vertical="center"/>
    </xf>
    <xf numFmtId="3" fontId="14" fillId="0" borderId="6" xfId="0" applyNumberFormat="1" applyFont="1" applyBorder="1" applyAlignment="1">
      <alignment horizontal="center" vertical="center"/>
    </xf>
    <xf numFmtId="49" fontId="16" fillId="2" borderId="5" xfId="0" applyNumberFormat="1" applyFont="1" applyFill="1" applyBorder="1" applyAlignment="1">
      <alignment horizontal="center" wrapText="1"/>
    </xf>
    <xf numFmtId="49" fontId="16" fillId="2" borderId="6" xfId="0" applyNumberFormat="1" applyFont="1" applyFill="1" applyBorder="1" applyAlignment="1">
      <alignment horizontal="center" wrapText="1"/>
    </xf>
    <xf numFmtId="0" fontId="0" fillId="0" borderId="2" xfId="0" applyBorder="1" applyAlignment="1">
      <alignment vertical="center" wrapText="1"/>
    </xf>
    <xf numFmtId="0" fontId="0" fillId="0" borderId="3" xfId="0" applyBorder="1" applyAlignment="1">
      <alignment vertical="center" wrapText="1"/>
    </xf>
    <xf numFmtId="49" fontId="10" fillId="0" borderId="2" xfId="0" applyNumberFormat="1" applyFont="1" applyBorder="1" applyAlignment="1">
      <alignment vertical="top" wrapText="1"/>
    </xf>
    <xf numFmtId="49" fontId="10" fillId="0" borderId="3" xfId="0" applyNumberFormat="1" applyFont="1" applyBorder="1" applyAlignment="1">
      <alignment vertical="top" wrapText="1"/>
    </xf>
    <xf numFmtId="49" fontId="6" fillId="0" borderId="2" xfId="0" applyNumberFormat="1" applyFont="1" applyBorder="1" applyAlignment="1">
      <alignment vertical="top" wrapText="1"/>
    </xf>
    <xf numFmtId="49" fontId="6" fillId="0" borderId="3" xfId="0" applyNumberFormat="1" applyFont="1" applyBorder="1" applyAlignment="1">
      <alignment vertical="top" wrapText="1"/>
    </xf>
    <xf numFmtId="49" fontId="6" fillId="0" borderId="1" xfId="0" applyNumberFormat="1" applyFont="1" applyBorder="1" applyAlignment="1">
      <alignment vertical="top" wrapText="1"/>
    </xf>
    <xf numFmtId="0" fontId="21" fillId="0" borderId="0" xfId="0" applyFont="1" applyAlignment="1">
      <alignment vertical="top" wrapText="1"/>
    </xf>
    <xf numFmtId="0" fontId="20" fillId="5" borderId="21" xfId="0" applyFont="1" applyFill="1" applyBorder="1" applyProtection="1">
      <protection locked="0"/>
    </xf>
    <xf numFmtId="0" fontId="20" fillId="5" borderId="22" xfId="0" applyFont="1" applyFill="1" applyBorder="1" applyProtection="1">
      <protection locked="0"/>
    </xf>
    <xf numFmtId="0" fontId="20" fillId="5" borderId="23" xfId="0" applyFont="1" applyFill="1" applyBorder="1" applyProtection="1">
      <protection locked="0"/>
    </xf>
  </cellXfs>
  <cellStyles count="2">
    <cellStyle name="Hyperlink" xfId="1" builtinId="8"/>
    <cellStyle name="Normal" xfId="0" builtinId="0"/>
  </cellStyles>
  <dxfs count="0"/>
  <tableStyles count="0" defaultTableStyle="TableStyleMedium2" defaultPivotStyle="PivotStyleLight16"/>
  <colors>
    <mruColors>
      <color rgb="FFFFCCCC"/>
      <color rgb="FFFFCC99"/>
      <color rgb="FFCCCCFF"/>
      <color rgb="FFCCFFCC"/>
      <color rgb="FFFFFFCC"/>
      <color rgb="FFCCFFFF"/>
      <color rgb="FF66FFFF"/>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mployerlink.porticobenefits.org/resources/calculators/benefit-costs-calculato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454C2-FB3D-4182-A780-D4816937C7C5}">
  <sheetPr>
    <tabColor rgb="FFFFCCCC"/>
  </sheetPr>
  <dimension ref="A1:I14"/>
  <sheetViews>
    <sheetView tabSelected="1" workbookViewId="0">
      <selection activeCell="A3" sqref="A3:B3"/>
    </sheetView>
  </sheetViews>
  <sheetFormatPr defaultRowHeight="15.75" x14ac:dyDescent="0.25"/>
  <cols>
    <col min="1" max="1" width="28.28515625" style="91" customWidth="1"/>
    <col min="2" max="2" width="62" style="91" customWidth="1"/>
    <col min="3" max="16384" width="9.140625" style="27"/>
  </cols>
  <sheetData>
    <row r="1" spans="1:9" ht="20.25" x14ac:dyDescent="0.25">
      <c r="A1" s="90" t="s">
        <v>148</v>
      </c>
    </row>
    <row r="3" spans="1:9" ht="102" customHeight="1" x14ac:dyDescent="0.25">
      <c r="A3" s="98" t="s">
        <v>145</v>
      </c>
      <c r="B3" s="99"/>
      <c r="C3" s="88"/>
      <c r="D3" s="88"/>
      <c r="E3" s="88"/>
      <c r="F3" s="88"/>
      <c r="G3" s="88"/>
      <c r="H3" s="88"/>
      <c r="I3" s="88"/>
    </row>
    <row r="5" spans="1:9" ht="54.75" customHeight="1" x14ac:dyDescent="0.25">
      <c r="A5" s="93" t="s">
        <v>146</v>
      </c>
      <c r="B5" s="88" t="s">
        <v>150</v>
      </c>
    </row>
    <row r="6" spans="1:9" x14ac:dyDescent="0.25">
      <c r="A6" s="92"/>
    </row>
    <row r="7" spans="1:9" ht="86.25" customHeight="1" x14ac:dyDescent="0.25">
      <c r="A7" s="94" t="s">
        <v>149</v>
      </c>
      <c r="B7" s="88" t="s">
        <v>156</v>
      </c>
    </row>
    <row r="8" spans="1:9" x14ac:dyDescent="0.25">
      <c r="A8" s="92"/>
    </row>
    <row r="9" spans="1:9" ht="54.75" customHeight="1" x14ac:dyDescent="0.25">
      <c r="A9" s="95" t="s">
        <v>147</v>
      </c>
      <c r="B9" s="88" t="s">
        <v>151</v>
      </c>
    </row>
    <row r="10" spans="1:9" x14ac:dyDescent="0.25">
      <c r="A10" s="92"/>
    </row>
    <row r="11" spans="1:9" ht="54.75" customHeight="1" x14ac:dyDescent="0.25">
      <c r="A11" s="96" t="s">
        <v>153</v>
      </c>
      <c r="B11" s="88" t="s">
        <v>152</v>
      </c>
    </row>
    <row r="14" spans="1:9" x14ac:dyDescent="0.25">
      <c r="A14" s="91" t="s">
        <v>160</v>
      </c>
    </row>
  </sheetData>
  <mergeCells count="1">
    <mergeCell ref="A3: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1B717-C8E1-4DBD-9FD1-45E9ABB1F615}">
  <sheetPr>
    <tabColor rgb="FFCCFFFF"/>
    <pageSetUpPr fitToPage="1"/>
  </sheetPr>
  <dimension ref="A1:F31"/>
  <sheetViews>
    <sheetView workbookViewId="0">
      <selection activeCell="D8" sqref="D8"/>
    </sheetView>
  </sheetViews>
  <sheetFormatPr defaultRowHeight="15" x14ac:dyDescent="0.25"/>
  <cols>
    <col min="1" max="1" width="16.42578125" style="1" bestFit="1" customWidth="1"/>
    <col min="2" max="2" width="53.7109375" style="1" customWidth="1"/>
    <col min="3" max="3" width="58.7109375" style="1" customWidth="1"/>
    <col min="4" max="4" width="12.7109375" style="5" bestFit="1" customWidth="1"/>
    <col min="5" max="5" width="16.140625" customWidth="1"/>
    <col min="6" max="6" width="36.28515625" customWidth="1"/>
  </cols>
  <sheetData>
    <row r="1" spans="1:6" ht="30" x14ac:dyDescent="0.25">
      <c r="A1" s="23" t="s">
        <v>69</v>
      </c>
      <c r="C1" s="25" t="s">
        <v>70</v>
      </c>
    </row>
    <row r="3" spans="1:6" ht="24.75" customHeight="1" x14ac:dyDescent="0.25">
      <c r="A3" s="106" t="s">
        <v>56</v>
      </c>
      <c r="B3" s="108" t="s">
        <v>57</v>
      </c>
      <c r="C3" s="15" t="s">
        <v>58</v>
      </c>
      <c r="D3" s="47" t="s">
        <v>157</v>
      </c>
      <c r="E3" s="104" t="s">
        <v>55</v>
      </c>
    </row>
    <row r="4" spans="1:6" ht="24.75" customHeight="1" x14ac:dyDescent="0.25">
      <c r="A4" s="107"/>
      <c r="B4" s="109"/>
      <c r="C4" s="15" t="s">
        <v>59</v>
      </c>
      <c r="D4" s="48"/>
      <c r="E4" s="105"/>
    </row>
    <row r="6" spans="1:6" s="2" customFormat="1" ht="36" x14ac:dyDescent="0.25">
      <c r="A6" s="6" t="s">
        <v>0</v>
      </c>
      <c r="B6" s="6" t="s">
        <v>10</v>
      </c>
      <c r="C6" s="6" t="s">
        <v>1</v>
      </c>
      <c r="D6" s="7" t="s">
        <v>2</v>
      </c>
      <c r="E6" s="6" t="s">
        <v>13</v>
      </c>
      <c r="F6" s="7" t="s">
        <v>159</v>
      </c>
    </row>
    <row r="7" spans="1:6" ht="216" customHeight="1" x14ac:dyDescent="0.25">
      <c r="A7" s="8" t="s">
        <v>27</v>
      </c>
      <c r="B7" s="9" t="s">
        <v>37</v>
      </c>
      <c r="C7" s="9" t="s">
        <v>154</v>
      </c>
      <c r="D7" s="24">
        <f>IF(AND(D3="x",D4="x"),"Please mark only one box above",IF(D3="x",57000,IF(D4="x",53000,"Please mark the orange or green box above")))</f>
        <v>57000</v>
      </c>
      <c r="E7" s="10" t="s">
        <v>14</v>
      </c>
      <c r="F7" s="97"/>
    </row>
    <row r="8" spans="1:6" ht="80.25" customHeight="1" x14ac:dyDescent="0.25">
      <c r="A8" s="106" t="s">
        <v>28</v>
      </c>
      <c r="B8" s="108" t="s">
        <v>48</v>
      </c>
      <c r="C8" s="108" t="s">
        <v>136</v>
      </c>
      <c r="D8" s="49"/>
      <c r="E8" s="10" t="s">
        <v>15</v>
      </c>
      <c r="F8" s="97"/>
    </row>
    <row r="9" spans="1:6" ht="80.25" customHeight="1" x14ac:dyDescent="0.25">
      <c r="A9" s="107"/>
      <c r="B9" s="109"/>
      <c r="C9" s="109"/>
      <c r="D9" s="14">
        <f>IF(ISNUMBER(D8),(D8-100000)*8%,)</f>
        <v>0</v>
      </c>
      <c r="E9" s="16" t="s">
        <v>28</v>
      </c>
      <c r="F9" s="97"/>
    </row>
    <row r="10" spans="1:6" ht="49.5" customHeight="1" x14ac:dyDescent="0.25">
      <c r="A10" s="106" t="s">
        <v>30</v>
      </c>
      <c r="B10" s="108" t="s">
        <v>38</v>
      </c>
      <c r="C10" s="108" t="s">
        <v>47</v>
      </c>
      <c r="D10" s="49"/>
      <c r="E10" s="10" t="s">
        <v>16</v>
      </c>
      <c r="F10" s="97"/>
    </row>
    <row r="11" spans="1:6" ht="49.5" customHeight="1" x14ac:dyDescent="0.25">
      <c r="A11" s="107"/>
      <c r="B11" s="109"/>
      <c r="C11" s="109"/>
      <c r="D11" s="14">
        <f>IF(ISNUMBER(D10),D10*400,)</f>
        <v>0</v>
      </c>
      <c r="E11" s="16" t="s">
        <v>46</v>
      </c>
      <c r="F11" s="97"/>
    </row>
    <row r="12" spans="1:6" ht="126" x14ac:dyDescent="0.25">
      <c r="A12" s="8" t="s">
        <v>29</v>
      </c>
      <c r="B12" s="9" t="s">
        <v>49</v>
      </c>
      <c r="C12" s="9" t="s">
        <v>50</v>
      </c>
      <c r="D12" s="14">
        <f>D7+D9+D11</f>
        <v>57000</v>
      </c>
      <c r="E12" s="10" t="s">
        <v>17</v>
      </c>
      <c r="F12" s="97"/>
    </row>
    <row r="13" spans="1:6" ht="18" x14ac:dyDescent="0.25">
      <c r="D13" s="4"/>
      <c r="E13" s="3"/>
    </row>
    <row r="14" spans="1:6" s="2" customFormat="1" ht="36" x14ac:dyDescent="0.25">
      <c r="A14" s="12" t="s">
        <v>3</v>
      </c>
      <c r="B14" s="12" t="s">
        <v>4</v>
      </c>
      <c r="C14" s="12" t="s">
        <v>1</v>
      </c>
      <c r="D14" s="13" t="s">
        <v>12</v>
      </c>
      <c r="E14" s="11"/>
      <c r="F14" s="7" t="s">
        <v>159</v>
      </c>
    </row>
    <row r="15" spans="1:6" ht="63" x14ac:dyDescent="0.25">
      <c r="A15" s="8" t="s">
        <v>40</v>
      </c>
      <c r="B15" s="9" t="s">
        <v>39</v>
      </c>
      <c r="C15" s="9" t="s">
        <v>137</v>
      </c>
      <c r="D15" s="49"/>
      <c r="E15" s="10" t="s">
        <v>18</v>
      </c>
      <c r="F15" s="97"/>
    </row>
    <row r="16" spans="1:6" ht="79.5" customHeight="1" x14ac:dyDescent="0.25">
      <c r="A16" s="8" t="s">
        <v>31</v>
      </c>
      <c r="B16" s="9" t="s">
        <v>41</v>
      </c>
      <c r="C16" s="9" t="s">
        <v>138</v>
      </c>
      <c r="D16" s="49"/>
      <c r="E16" s="10" t="s">
        <v>19</v>
      </c>
      <c r="F16" s="97"/>
    </row>
    <row r="17" spans="1:6" ht="94.5" x14ac:dyDescent="0.25">
      <c r="A17" s="8" t="s">
        <v>141</v>
      </c>
      <c r="B17" s="9" t="s">
        <v>139</v>
      </c>
      <c r="C17" s="9" t="s">
        <v>140</v>
      </c>
      <c r="D17" s="49"/>
      <c r="E17" s="10" t="s">
        <v>20</v>
      </c>
      <c r="F17" s="97"/>
    </row>
    <row r="18" spans="1:6" ht="78.75" x14ac:dyDescent="0.25">
      <c r="A18" s="8" t="s">
        <v>32</v>
      </c>
      <c r="B18" s="9" t="s">
        <v>5</v>
      </c>
      <c r="C18" s="9" t="s">
        <v>155</v>
      </c>
      <c r="D18" s="49"/>
      <c r="E18" s="10" t="s">
        <v>21</v>
      </c>
      <c r="F18" s="97"/>
    </row>
    <row r="19" spans="1:6" ht="63" x14ac:dyDescent="0.25">
      <c r="A19" s="8" t="s">
        <v>33</v>
      </c>
      <c r="B19" s="9" t="s">
        <v>142</v>
      </c>
      <c r="C19" s="9" t="s">
        <v>51</v>
      </c>
      <c r="D19" s="14">
        <f>IF(D15&gt;10,10,D15)+D16+D17+D18</f>
        <v>0</v>
      </c>
      <c r="E19" s="10" t="s">
        <v>22</v>
      </c>
      <c r="F19" s="97"/>
    </row>
    <row r="20" spans="1:6" ht="18" x14ac:dyDescent="0.25">
      <c r="D20" s="4"/>
      <c r="E20" s="3"/>
    </row>
    <row r="21" spans="1:6" ht="36" x14ac:dyDescent="0.25">
      <c r="A21" s="6" t="s">
        <v>6</v>
      </c>
      <c r="B21" s="6" t="s">
        <v>7</v>
      </c>
      <c r="C21" s="6" t="s">
        <v>1</v>
      </c>
      <c r="D21" s="7" t="s">
        <v>11</v>
      </c>
      <c r="E21" s="11"/>
      <c r="F21" s="7" t="s">
        <v>159</v>
      </c>
    </row>
    <row r="22" spans="1:6" ht="47.25" x14ac:dyDescent="0.25">
      <c r="A22" s="8" t="s">
        <v>29</v>
      </c>
      <c r="B22" s="9" t="s">
        <v>52</v>
      </c>
      <c r="C22" s="9" t="s">
        <v>53</v>
      </c>
      <c r="D22" s="14">
        <f>D12</f>
        <v>57000</v>
      </c>
      <c r="E22" s="10" t="s">
        <v>23</v>
      </c>
      <c r="F22" s="97"/>
    </row>
    <row r="23" spans="1:6" ht="87" x14ac:dyDescent="0.25">
      <c r="A23" s="8" t="s">
        <v>34</v>
      </c>
      <c r="B23" s="9" t="s">
        <v>54</v>
      </c>
      <c r="C23" s="9" t="s">
        <v>42</v>
      </c>
      <c r="D23" s="14">
        <f>400*D19</f>
        <v>0</v>
      </c>
      <c r="E23" s="10" t="s">
        <v>24</v>
      </c>
      <c r="F23" s="97"/>
    </row>
    <row r="24" spans="1:6" ht="63" x14ac:dyDescent="0.25">
      <c r="A24" s="8" t="s">
        <v>35</v>
      </c>
      <c r="B24" s="9" t="s">
        <v>43</v>
      </c>
      <c r="C24" s="9" t="s">
        <v>44</v>
      </c>
      <c r="D24" s="14">
        <f>D22+D23</f>
        <v>57000</v>
      </c>
      <c r="E24" s="10" t="s">
        <v>25</v>
      </c>
      <c r="F24" s="97"/>
    </row>
    <row r="25" spans="1:6" ht="246.75" customHeight="1" x14ac:dyDescent="0.25">
      <c r="A25" s="8" t="s">
        <v>36</v>
      </c>
      <c r="B25" s="110" t="s">
        <v>45</v>
      </c>
      <c r="C25" s="110"/>
      <c r="D25" s="49"/>
      <c r="E25" s="10" t="s">
        <v>26</v>
      </c>
      <c r="F25" s="97"/>
    </row>
    <row r="26" spans="1:6" ht="31.5" x14ac:dyDescent="0.25">
      <c r="A26" s="8" t="s">
        <v>60</v>
      </c>
      <c r="B26" s="9" t="s">
        <v>61</v>
      </c>
      <c r="C26" s="9" t="s">
        <v>66</v>
      </c>
      <c r="D26" s="14">
        <f>IF(D3="x",0.0765*D25,"")</f>
        <v>0</v>
      </c>
      <c r="E26" s="10"/>
      <c r="F26" s="97"/>
    </row>
    <row r="27" spans="1:6" ht="18" x14ac:dyDescent="0.25">
      <c r="A27" s="17"/>
      <c r="B27" s="18"/>
      <c r="C27" s="18"/>
      <c r="D27" s="20"/>
      <c r="E27" s="19"/>
    </row>
    <row r="28" spans="1:6" ht="57.75" customHeight="1" x14ac:dyDescent="0.3">
      <c r="A28" s="21" t="s">
        <v>67</v>
      </c>
      <c r="B28" s="21" t="s">
        <v>62</v>
      </c>
      <c r="C28" s="21" t="s">
        <v>65</v>
      </c>
      <c r="D28" s="102" t="s">
        <v>64</v>
      </c>
      <c r="E28" s="103"/>
      <c r="F28" s="7" t="s">
        <v>159</v>
      </c>
    </row>
    <row r="29" spans="1:6" ht="40.5" customHeight="1" x14ac:dyDescent="0.25">
      <c r="A29" s="22" t="s">
        <v>9</v>
      </c>
      <c r="B29" s="14">
        <f>D22</f>
        <v>57000</v>
      </c>
      <c r="C29" s="14">
        <f>IF(D$3="x",(0.0765*B29),)</f>
        <v>4360.5</v>
      </c>
      <c r="D29" s="100">
        <f>B29+C29</f>
        <v>61360.5</v>
      </c>
      <c r="E29" s="101"/>
      <c r="F29" s="97"/>
    </row>
    <row r="30" spans="1:6" ht="40.5" customHeight="1" x14ac:dyDescent="0.25">
      <c r="A30" s="22" t="s">
        <v>68</v>
      </c>
      <c r="B30" s="14">
        <f>D25</f>
        <v>0</v>
      </c>
      <c r="C30" s="14">
        <f>IF(D$3="x",(0.0765*B30),)</f>
        <v>0</v>
      </c>
      <c r="D30" s="100">
        <f t="shared" ref="D30:D31" si="0">B30+C30</f>
        <v>0</v>
      </c>
      <c r="E30" s="101"/>
      <c r="F30" s="97"/>
    </row>
    <row r="31" spans="1:6" ht="40.5" customHeight="1" x14ac:dyDescent="0.25">
      <c r="A31" s="22" t="s">
        <v>8</v>
      </c>
      <c r="B31" s="14">
        <f>D24</f>
        <v>57000</v>
      </c>
      <c r="C31" s="14">
        <f>IF(D$3="x",(0.0765*B31),)</f>
        <v>4360.5</v>
      </c>
      <c r="D31" s="100">
        <f t="shared" si="0"/>
        <v>61360.5</v>
      </c>
      <c r="E31" s="101"/>
      <c r="F31" s="97"/>
    </row>
  </sheetData>
  <sheetProtection algorithmName="SHA-512" hashValue="9wdDoA/LEhwvxPLqwyOj98+s/D73eXzdcIpF7JOeXsj9E85kau5V1tG4r6nA4fM49ewvfdtqXIPcN0Dx0UU+GQ==" saltValue="Ay5n/I4f70s4DgJs+raYMg==" spinCount="100000" sheet="1" objects="1" scenarios="1"/>
  <mergeCells count="14">
    <mergeCell ref="D30:E30"/>
    <mergeCell ref="D31:E31"/>
    <mergeCell ref="D28:E28"/>
    <mergeCell ref="E3:E4"/>
    <mergeCell ref="A3:A4"/>
    <mergeCell ref="B3:B4"/>
    <mergeCell ref="D29:E29"/>
    <mergeCell ref="B25:C25"/>
    <mergeCell ref="A8:A9"/>
    <mergeCell ref="B8:B9"/>
    <mergeCell ref="C8:C9"/>
    <mergeCell ref="A10:A11"/>
    <mergeCell ref="B10:B11"/>
    <mergeCell ref="C10:C11"/>
  </mergeCells>
  <pageMargins left="0.7" right="0.7" top="0.5" bottom="0.5" header="0" footer="0"/>
  <pageSetup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AE459-9D71-4391-ACE6-92ABCE998D72}">
  <sheetPr>
    <tabColor rgb="FFCCFFCC"/>
  </sheetPr>
  <dimension ref="A1:Q59"/>
  <sheetViews>
    <sheetView workbookViewId="0">
      <selection activeCell="C31" sqref="C31"/>
    </sheetView>
  </sheetViews>
  <sheetFormatPr defaultRowHeight="15.75" x14ac:dyDescent="0.25"/>
  <cols>
    <col min="1" max="1" width="22.7109375" style="27" customWidth="1"/>
    <col min="2" max="2" width="7.85546875" style="27" customWidth="1"/>
    <col min="3" max="4" width="9.28515625" style="28" customWidth="1"/>
    <col min="5" max="6" width="9.140625" style="27"/>
    <col min="7" max="7" width="14.85546875" style="27" customWidth="1"/>
    <col min="8" max="8" width="3.28515625" style="27" customWidth="1"/>
    <col min="9" max="9" width="12.42578125" style="27" customWidth="1"/>
    <col min="10" max="16" width="9.140625" style="27"/>
    <col min="17" max="17" width="3.28515625" style="27" customWidth="1"/>
    <col min="18" max="16384" width="9.140625" style="27"/>
  </cols>
  <sheetData>
    <row r="1" spans="1:17" ht="18" x14ac:dyDescent="0.25">
      <c r="A1" s="26" t="s">
        <v>93</v>
      </c>
    </row>
    <row r="2" spans="1:17" ht="15.75" customHeight="1" x14ac:dyDescent="0.25">
      <c r="A2" s="111" t="s">
        <v>135</v>
      </c>
      <c r="B2" s="111"/>
      <c r="C2" s="111"/>
      <c r="D2" s="111"/>
      <c r="E2" s="111"/>
      <c r="F2" s="111"/>
      <c r="G2" s="111"/>
    </row>
    <row r="3" spans="1:17" x14ac:dyDescent="0.25">
      <c r="A3" s="111"/>
      <c r="B3" s="111"/>
      <c r="C3" s="111"/>
      <c r="D3" s="111"/>
      <c r="E3" s="111"/>
      <c r="F3" s="111"/>
      <c r="G3" s="111"/>
    </row>
    <row r="4" spans="1:17" x14ac:dyDescent="0.25">
      <c r="A4" s="111"/>
      <c r="B4" s="111"/>
      <c r="C4" s="111"/>
      <c r="D4" s="111"/>
      <c r="E4" s="111"/>
      <c r="F4" s="111"/>
      <c r="G4" s="111"/>
    </row>
    <row r="5" spans="1:17" ht="16.5" thickBot="1" x14ac:dyDescent="0.3">
      <c r="A5" s="111"/>
      <c r="B5" s="111"/>
      <c r="C5" s="111"/>
      <c r="D5" s="111"/>
      <c r="E5" s="111"/>
      <c r="F5" s="111"/>
      <c r="G5" s="111"/>
    </row>
    <row r="6" spans="1:17" x14ac:dyDescent="0.25">
      <c r="A6" s="46"/>
      <c r="B6" s="46"/>
      <c r="C6" s="46"/>
      <c r="D6" s="46"/>
      <c r="E6" s="46"/>
      <c r="F6" s="46"/>
      <c r="H6" s="73"/>
      <c r="I6" s="74"/>
      <c r="J6" s="74"/>
      <c r="K6" s="74"/>
      <c r="L6" s="74"/>
      <c r="M6" s="74"/>
      <c r="N6" s="74"/>
      <c r="O6" s="74"/>
      <c r="P6" s="74"/>
      <c r="Q6" s="75"/>
    </row>
    <row r="7" spans="1:17" ht="18.75" x14ac:dyDescent="0.3">
      <c r="A7" s="29" t="s">
        <v>114</v>
      </c>
      <c r="E7" s="28"/>
      <c r="F7" s="46"/>
      <c r="H7" s="76"/>
      <c r="I7" s="29" t="s">
        <v>117</v>
      </c>
      <c r="Q7" s="77"/>
    </row>
    <row r="8" spans="1:17" x14ac:dyDescent="0.25">
      <c r="A8" s="98" t="s">
        <v>115</v>
      </c>
      <c r="B8" s="98"/>
      <c r="C8" s="98"/>
      <c r="D8" s="98"/>
      <c r="E8" s="98"/>
      <c r="F8" s="46"/>
      <c r="H8" s="76"/>
      <c r="I8" s="98" t="s">
        <v>118</v>
      </c>
      <c r="J8" s="98"/>
      <c r="K8" s="98"/>
      <c r="L8" s="98"/>
      <c r="M8" s="98"/>
      <c r="N8" s="98"/>
      <c r="O8" s="98"/>
      <c r="P8" s="98"/>
      <c r="Q8" s="77"/>
    </row>
    <row r="9" spans="1:17" ht="16.5" thickBot="1" x14ac:dyDescent="0.3">
      <c r="A9" s="98"/>
      <c r="B9" s="98"/>
      <c r="C9" s="98"/>
      <c r="D9" s="98"/>
      <c r="E9" s="98"/>
      <c r="F9" s="46"/>
      <c r="H9" s="76"/>
      <c r="I9" s="98"/>
      <c r="J9" s="98"/>
      <c r="K9" s="98"/>
      <c r="L9" s="98"/>
      <c r="M9" s="98"/>
      <c r="N9" s="98"/>
      <c r="O9" s="98"/>
      <c r="P9" s="98"/>
      <c r="Q9" s="77"/>
    </row>
    <row r="10" spans="1:17" ht="17.25" thickTop="1" thickBot="1" x14ac:dyDescent="0.3">
      <c r="A10" s="98"/>
      <c r="B10" s="98"/>
      <c r="C10" s="98"/>
      <c r="D10" s="98"/>
      <c r="E10" s="98"/>
      <c r="F10" s="46"/>
      <c r="H10" s="76"/>
      <c r="K10" s="30" t="s">
        <v>124</v>
      </c>
      <c r="L10" s="112"/>
      <c r="M10" s="113"/>
      <c r="N10" s="113"/>
      <c r="O10" s="113"/>
      <c r="P10" s="114"/>
      <c r="Q10" s="77"/>
    </row>
    <row r="11" spans="1:17" ht="19.5" thickTop="1" thickBot="1" x14ac:dyDescent="0.3">
      <c r="A11" s="26"/>
      <c r="D11" s="53" t="s">
        <v>116</v>
      </c>
      <c r="E11" s="85">
        <v>1</v>
      </c>
      <c r="F11" s="46"/>
      <c r="H11" s="76"/>
      <c r="K11" s="30" t="s">
        <v>125</v>
      </c>
      <c r="L11" s="112"/>
      <c r="M11" s="113"/>
      <c r="N11" s="113"/>
      <c r="O11" s="113"/>
      <c r="P11" s="114"/>
      <c r="Q11" s="77"/>
    </row>
    <row r="12" spans="1:17" ht="17.25" thickTop="1" thickBot="1" x14ac:dyDescent="0.3">
      <c r="A12" s="46"/>
      <c r="B12" s="46"/>
      <c r="C12" s="46"/>
      <c r="D12" s="46"/>
      <c r="E12" s="46"/>
      <c r="F12" s="46"/>
      <c r="H12" s="76"/>
      <c r="K12" s="30" t="s">
        <v>126</v>
      </c>
      <c r="L12" s="112"/>
      <c r="M12" s="113"/>
      <c r="N12" s="113"/>
      <c r="O12" s="113"/>
      <c r="P12" s="114"/>
      <c r="Q12" s="77"/>
    </row>
    <row r="13" spans="1:17" ht="16.5" thickTop="1" x14ac:dyDescent="0.25">
      <c r="A13" s="46"/>
      <c r="B13" s="46"/>
      <c r="C13" s="46"/>
      <c r="D13" s="46"/>
      <c r="E13" s="46"/>
      <c r="F13" s="46"/>
      <c r="H13" s="76"/>
      <c r="Q13" s="77"/>
    </row>
    <row r="14" spans="1:17" ht="16.5" thickBot="1" x14ac:dyDescent="0.3">
      <c r="A14" s="46"/>
      <c r="B14" s="46"/>
      <c r="C14" s="46"/>
      <c r="D14" s="46"/>
      <c r="E14" s="46"/>
      <c r="F14" s="46"/>
      <c r="H14" s="76"/>
      <c r="J14" s="30" t="s">
        <v>120</v>
      </c>
      <c r="K14" s="30"/>
      <c r="L14" s="30" t="s">
        <v>121</v>
      </c>
      <c r="M14" s="30"/>
      <c r="N14" s="30" t="s">
        <v>122</v>
      </c>
      <c r="O14" s="30"/>
      <c r="P14" s="30" t="s">
        <v>123</v>
      </c>
      <c r="Q14" s="77"/>
    </row>
    <row r="15" spans="1:17" ht="20.25" thickTop="1" thickBot="1" x14ac:dyDescent="0.35">
      <c r="A15" s="29" t="s">
        <v>143</v>
      </c>
      <c r="H15" s="76"/>
      <c r="I15" s="27" t="s">
        <v>119</v>
      </c>
      <c r="J15" s="86"/>
      <c r="L15" s="86"/>
      <c r="N15" s="86"/>
      <c r="P15" s="78" t="str">
        <f>IF(AND(OR(J15&gt;0,L15&gt;0,N15&gt;0),(J15+L15+N15)&lt;&gt;1),"ERROR",IF((J15+L15+N15)=0,"",J15+L15+N15))</f>
        <v/>
      </c>
      <c r="Q15" s="77" t="str">
        <f>IF((J15+L15+N15)=0,"",IF(J15+L15+N15&lt;&gt;1," &lt;&lt; cell MUST equal 100%",""))</f>
        <v/>
      </c>
    </row>
    <row r="16" spans="1:17" ht="19.5" thickTop="1" x14ac:dyDescent="0.3">
      <c r="A16" s="29"/>
      <c r="H16" s="76"/>
      <c r="Q16" s="77"/>
    </row>
    <row r="17" spans="1:17" x14ac:dyDescent="0.25">
      <c r="B17" s="30" t="s">
        <v>144</v>
      </c>
      <c r="C17" s="28">
        <f>'Compensation Calculations'!D25</f>
        <v>0</v>
      </c>
      <c r="E17" s="54" t="str">
        <f>IF(E$11&lt;&gt;1,C17*E$11,"")</f>
        <v/>
      </c>
      <c r="H17" s="76"/>
      <c r="J17" s="79" t="str">
        <f>IF(J$15&gt;0,IF($E$11&lt;&gt;1,$E17*J$15,$C17*J$15),"")</f>
        <v/>
      </c>
      <c r="L17" s="79" t="str">
        <f>IF(L$15&gt;0,IF($E$11&lt;&gt;1,$E17*L$15,$C17*L$15),"")</f>
        <v/>
      </c>
      <c r="N17" s="79" t="str">
        <f>IF(N$15&gt;0,IF($E$11&lt;&gt;1,$E17*N$15,$C17*N$15),"")</f>
        <v/>
      </c>
      <c r="Q17" s="77"/>
    </row>
    <row r="18" spans="1:17" x14ac:dyDescent="0.25">
      <c r="B18" s="30"/>
      <c r="E18" s="55"/>
      <c r="H18" s="76"/>
      <c r="J18" s="80"/>
      <c r="L18" s="80"/>
      <c r="N18" s="80"/>
      <c r="Q18" s="77"/>
    </row>
    <row r="19" spans="1:17" x14ac:dyDescent="0.25">
      <c r="B19" s="30" t="s">
        <v>158</v>
      </c>
      <c r="C19" s="28">
        <f>'Compensation Calculations'!C30</f>
        <v>0</v>
      </c>
      <c r="E19" s="54" t="str">
        <f>IF(E$11&lt;&gt;1,C19*E$11,"")</f>
        <v/>
      </c>
      <c r="H19" s="76"/>
      <c r="J19" s="79" t="str">
        <f>IF(J$15&gt;0,IF($E$11&lt;&gt;1,$E19*J$15,$C19*J$15),"")</f>
        <v/>
      </c>
      <c r="L19" s="79" t="str">
        <f>IF(L$15&gt;0,IF($E$11&lt;&gt;1,$E19*L$15,$C19*L$15),"")</f>
        <v/>
      </c>
      <c r="N19" s="79" t="str">
        <f>IF(N$15&gt;0,IF($E$11&lt;&gt;1,$E19*N$15,$C19*N$15),"")</f>
        <v/>
      </c>
      <c r="Q19" s="77"/>
    </row>
    <row r="20" spans="1:17" ht="16.5" thickBot="1" x14ac:dyDescent="0.3">
      <c r="B20" s="30"/>
      <c r="C20" s="31"/>
      <c r="E20" s="56"/>
      <c r="H20" s="76"/>
      <c r="J20" s="58"/>
      <c r="L20" s="58"/>
      <c r="N20" s="58"/>
      <c r="Q20" s="77"/>
    </row>
    <row r="21" spans="1:17" ht="16.5" thickTop="1" x14ac:dyDescent="0.25">
      <c r="B21" s="32" t="s">
        <v>71</v>
      </c>
      <c r="C21" s="33">
        <f>C17+C19</f>
        <v>0</v>
      </c>
      <c r="E21" s="57" t="str">
        <f>IF(E$11&lt;&gt;1,E17+E19,"")</f>
        <v/>
      </c>
      <c r="H21" s="76"/>
      <c r="J21" s="81">
        <f>IF(J$15&gt;0,J17+J19,)</f>
        <v>0</v>
      </c>
      <c r="L21" s="81">
        <f>IF(L$15&gt;0,L17+L19,)</f>
        <v>0</v>
      </c>
      <c r="N21" s="81">
        <f>IF(N$15&gt;0,N17+N19,)</f>
        <v>0</v>
      </c>
      <c r="P21" s="81" t="str">
        <f>IF((J15+L15+N15)=0,"",J21+L21+N21)</f>
        <v/>
      </c>
      <c r="Q21" s="77"/>
    </row>
    <row r="22" spans="1:17" x14ac:dyDescent="0.25">
      <c r="B22" s="32"/>
      <c r="H22" s="76"/>
      <c r="Q22" s="77"/>
    </row>
    <row r="23" spans="1:17" x14ac:dyDescent="0.25">
      <c r="B23" s="32"/>
      <c r="H23" s="76"/>
      <c r="Q23" s="77"/>
    </row>
    <row r="24" spans="1:17" ht="18.75" x14ac:dyDescent="0.3">
      <c r="A24" s="29" t="s">
        <v>72</v>
      </c>
      <c r="B24" s="30"/>
      <c r="H24" s="76"/>
      <c r="Q24" s="77"/>
    </row>
    <row r="25" spans="1:17" x14ac:dyDescent="0.25">
      <c r="A25" s="27" t="s">
        <v>73</v>
      </c>
      <c r="B25" s="30"/>
      <c r="H25" s="76"/>
      <c r="Q25" s="77"/>
    </row>
    <row r="26" spans="1:17" x14ac:dyDescent="0.25">
      <c r="A26" s="34" t="s">
        <v>74</v>
      </c>
      <c r="B26" s="30"/>
      <c r="H26" s="76"/>
      <c r="Q26" s="77"/>
    </row>
    <row r="27" spans="1:17" x14ac:dyDescent="0.25">
      <c r="A27" s="35" t="s">
        <v>75</v>
      </c>
      <c r="B27" s="30"/>
      <c r="H27" s="76"/>
      <c r="Q27" s="77"/>
    </row>
    <row r="28" spans="1:17" x14ac:dyDescent="0.25">
      <c r="A28" s="35"/>
      <c r="B28" s="30"/>
      <c r="H28" s="76"/>
      <c r="Q28" s="77"/>
    </row>
    <row r="29" spans="1:17" x14ac:dyDescent="0.25">
      <c r="B29" s="30" t="s">
        <v>76</v>
      </c>
      <c r="C29" s="27" t="s">
        <v>77</v>
      </c>
      <c r="H29" s="76"/>
      <c r="Q29" s="77"/>
    </row>
    <row r="30" spans="1:17" x14ac:dyDescent="0.25">
      <c r="B30" s="30" t="s">
        <v>78</v>
      </c>
      <c r="C30" s="28">
        <f>IF(E$11&lt;&gt;1,E21,C21)</f>
        <v>0</v>
      </c>
      <c r="H30" s="76"/>
      <c r="Q30" s="77"/>
    </row>
    <row r="31" spans="1:17" x14ac:dyDescent="0.25">
      <c r="B31" s="30" t="s">
        <v>108</v>
      </c>
      <c r="C31" s="50"/>
      <c r="D31" s="28" t="s">
        <v>107</v>
      </c>
      <c r="H31" s="76"/>
      <c r="Q31" s="77"/>
    </row>
    <row r="32" spans="1:17" x14ac:dyDescent="0.25">
      <c r="H32" s="76"/>
      <c r="Q32" s="77"/>
    </row>
    <row r="33" spans="1:17" x14ac:dyDescent="0.25">
      <c r="B33" s="30" t="s">
        <v>79</v>
      </c>
      <c r="C33" s="50"/>
      <c r="H33" s="76"/>
      <c r="J33" s="79" t="str">
        <f>IF(J$15&gt;0,$C33*J$15,"")</f>
        <v/>
      </c>
      <c r="L33" s="79" t="str">
        <f>IF(L$15&gt;0,$C33*L$15,"")</f>
        <v/>
      </c>
      <c r="N33" s="79" t="str">
        <f>IF(N$15&gt;0,$C33*N$15,"")</f>
        <v/>
      </c>
      <c r="Q33" s="77"/>
    </row>
    <row r="34" spans="1:17" x14ac:dyDescent="0.25">
      <c r="B34" s="30" t="s">
        <v>80</v>
      </c>
      <c r="C34" s="50"/>
      <c r="H34" s="76"/>
      <c r="J34" s="79" t="str">
        <f>IF(J$15&gt;0,$C34*J$15,"")</f>
        <v/>
      </c>
      <c r="L34" s="79" t="str">
        <f>IF(L$15&gt;0,$C34*L$15,"")</f>
        <v/>
      </c>
      <c r="N34" s="79" t="str">
        <f>IF(N$15&gt;0,$C34*N$15,"")</f>
        <v/>
      </c>
      <c r="Q34" s="77"/>
    </row>
    <row r="35" spans="1:17" x14ac:dyDescent="0.25">
      <c r="B35" s="30" t="s">
        <v>81</v>
      </c>
      <c r="C35" s="50"/>
      <c r="H35" s="76"/>
      <c r="J35" s="79" t="str">
        <f>IF(J$15&gt;0,$C35*J$15,"")</f>
        <v/>
      </c>
      <c r="L35" s="79" t="str">
        <f>IF(L$15&gt;0,$C35*L$15,"")</f>
        <v/>
      </c>
      <c r="N35" s="79" t="str">
        <f>IF(N$15&gt;0,$C35*N$15,"")</f>
        <v/>
      </c>
      <c r="Q35" s="77"/>
    </row>
    <row r="36" spans="1:17" x14ac:dyDescent="0.25">
      <c r="B36" s="30" t="s">
        <v>106</v>
      </c>
      <c r="C36" s="51"/>
      <c r="H36" s="76"/>
      <c r="J36" s="59" t="str">
        <f>IF(J$15&gt;0,$C36*J$15,"")</f>
        <v/>
      </c>
      <c r="L36" s="59" t="str">
        <f>IF(L$15&gt;0,$C36*L$15,"")</f>
        <v/>
      </c>
      <c r="N36" s="59" t="str">
        <f>IF(N$15&gt;0,$C36*N$15,"")</f>
        <v/>
      </c>
      <c r="Q36" s="77"/>
    </row>
    <row r="37" spans="1:17" x14ac:dyDescent="0.25">
      <c r="B37" s="30" t="s">
        <v>82</v>
      </c>
      <c r="C37" s="28">
        <f>SUM(C33:C36)</f>
        <v>0</v>
      </c>
      <c r="H37" s="76"/>
      <c r="J37" s="79" t="str">
        <f>IF(J$15&gt;0,J33+J34+J35+J36,"")</f>
        <v/>
      </c>
      <c r="L37" s="79" t="str">
        <f>IF(L$15&gt;0,L33+L34+L35+L36,"")</f>
        <v/>
      </c>
      <c r="N37" s="79" t="str">
        <f>IF(N$15&gt;0,N33+N34+N35+N36,"")</f>
        <v/>
      </c>
      <c r="Q37" s="77"/>
    </row>
    <row r="38" spans="1:17" x14ac:dyDescent="0.25">
      <c r="B38" s="30"/>
      <c r="H38" s="76"/>
      <c r="Q38" s="77"/>
    </row>
    <row r="39" spans="1:17" x14ac:dyDescent="0.25">
      <c r="A39" s="27" t="s">
        <v>109</v>
      </c>
      <c r="B39" s="30"/>
      <c r="H39" s="76"/>
      <c r="Q39" s="77"/>
    </row>
    <row r="40" spans="1:17" x14ac:dyDescent="0.25">
      <c r="B40" s="52" t="s">
        <v>110</v>
      </c>
      <c r="C40" s="50"/>
      <c r="H40" s="76"/>
      <c r="J40" s="79" t="str">
        <f>IF(J$15&gt;0,$C40*J$15,"")</f>
        <v/>
      </c>
      <c r="L40" s="79" t="str">
        <f>IF(L$15&gt;0,$C40*L$15,"")</f>
        <v/>
      </c>
      <c r="N40" s="79" t="str">
        <f>IF(N$15&gt;0,$C40*N$15,"")</f>
        <v/>
      </c>
      <c r="Q40" s="77"/>
    </row>
    <row r="41" spans="1:17" x14ac:dyDescent="0.25">
      <c r="B41" s="52" t="s">
        <v>111</v>
      </c>
      <c r="C41" s="50"/>
      <c r="H41" s="76"/>
      <c r="J41" s="79" t="str">
        <f>IF(J$15&gt;0,$C41*J$15,"")</f>
        <v/>
      </c>
      <c r="L41" s="79" t="str">
        <f>IF(L$15&gt;0,$C41*L$15,"")</f>
        <v/>
      </c>
      <c r="N41" s="79" t="str">
        <f>IF(N$15&gt;0,$C41*N$15,"")</f>
        <v/>
      </c>
      <c r="Q41" s="77"/>
    </row>
    <row r="42" spans="1:17" x14ac:dyDescent="0.25">
      <c r="B42" s="52" t="s">
        <v>112</v>
      </c>
      <c r="C42" s="51"/>
      <c r="H42" s="76"/>
      <c r="J42" s="59" t="str">
        <f>IF(J$15&gt;0,$C42*J$15,"")</f>
        <v/>
      </c>
      <c r="L42" s="59" t="str">
        <f>IF(L$15&gt;0,$C42*L$15,"")</f>
        <v/>
      </c>
      <c r="N42" s="59" t="str">
        <f>IF(N$15&gt;0,$C42*N$15,"")</f>
        <v/>
      </c>
      <c r="Q42" s="77"/>
    </row>
    <row r="43" spans="1:17" x14ac:dyDescent="0.25">
      <c r="B43" s="30" t="s">
        <v>83</v>
      </c>
      <c r="C43" s="28">
        <f>C40+C41+C42</f>
        <v>0</v>
      </c>
      <c r="D43" s="38"/>
      <c r="H43" s="76"/>
      <c r="J43" s="79" t="str">
        <f>IF(J$15&gt;0,J40+J41+J42,"")</f>
        <v/>
      </c>
      <c r="L43" s="79" t="str">
        <f>IF(L$15&gt;0,L40+L41+L42,"")</f>
        <v/>
      </c>
      <c r="N43" s="79" t="str">
        <f>IF(N$15&gt;0,N40+N41+N42,"")</f>
        <v/>
      </c>
      <c r="Q43" s="77"/>
    </row>
    <row r="44" spans="1:17" x14ac:dyDescent="0.25">
      <c r="H44" s="76"/>
      <c r="Q44" s="77"/>
    </row>
    <row r="45" spans="1:17" x14ac:dyDescent="0.25">
      <c r="B45" s="32" t="s">
        <v>84</v>
      </c>
      <c r="C45" s="33">
        <f>C37+C43</f>
        <v>0</v>
      </c>
      <c r="H45" s="76"/>
      <c r="J45" s="81">
        <f>IF(J$15&gt;0,J37+J43,)</f>
        <v>0</v>
      </c>
      <c r="L45" s="81">
        <f>IF(L$15&gt;0,L37+L43,)</f>
        <v>0</v>
      </c>
      <c r="N45" s="81">
        <f>IF(N$15&gt;0,N37+N43,)</f>
        <v>0</v>
      </c>
      <c r="P45" s="81" t="str">
        <f>IF((J15+L15+N15)=0,"",J45+L45+N45)</f>
        <v/>
      </c>
      <c r="Q45" s="77"/>
    </row>
    <row r="46" spans="1:17" x14ac:dyDescent="0.25">
      <c r="H46" s="76"/>
      <c r="Q46" s="77"/>
    </row>
    <row r="47" spans="1:17" x14ac:dyDescent="0.25">
      <c r="H47" s="76"/>
      <c r="Q47" s="77"/>
    </row>
    <row r="48" spans="1:17" ht="18.75" x14ac:dyDescent="0.3">
      <c r="A48" s="29" t="s">
        <v>85</v>
      </c>
      <c r="H48" s="76"/>
      <c r="Q48" s="77"/>
    </row>
    <row r="49" spans="1:17" x14ac:dyDescent="0.25">
      <c r="B49" s="30" t="s">
        <v>86</v>
      </c>
      <c r="C49" s="50"/>
      <c r="D49" s="28" t="s">
        <v>94</v>
      </c>
      <c r="H49" s="76"/>
      <c r="J49" s="79" t="str">
        <f>IF(J$15&gt;0,$C49*J$15,"")</f>
        <v/>
      </c>
      <c r="L49" s="79" t="str">
        <f>IF(L$15&gt;0,$C49*L$15,"")</f>
        <v/>
      </c>
      <c r="N49" s="79" t="str">
        <f>IF(N$15&gt;0,$C49*N$15,"")</f>
        <v/>
      </c>
      <c r="Q49" s="77"/>
    </row>
    <row r="50" spans="1:17" x14ac:dyDescent="0.25">
      <c r="B50" s="30" t="s">
        <v>87</v>
      </c>
      <c r="C50" s="50"/>
      <c r="H50" s="76"/>
      <c r="J50" s="79" t="str">
        <f>IF(J$15&gt;0,$C50*J$15,"")</f>
        <v/>
      </c>
      <c r="L50" s="79" t="str">
        <f>IF(L$15&gt;0,$C50*L$15,"")</f>
        <v/>
      </c>
      <c r="N50" s="79" t="str">
        <f>IF(N$15&gt;0,$C50*N$15,"")</f>
        <v/>
      </c>
      <c r="Q50" s="77"/>
    </row>
    <row r="51" spans="1:17" x14ac:dyDescent="0.25">
      <c r="B51" s="30" t="s">
        <v>88</v>
      </c>
      <c r="C51" s="50"/>
      <c r="D51" s="28" t="s">
        <v>95</v>
      </c>
      <c r="H51" s="76"/>
      <c r="J51" s="79" t="str">
        <f>IF(J$15&gt;0,$C51*J$15,"")</f>
        <v/>
      </c>
      <c r="L51" s="79" t="str">
        <f>IF(L$15&gt;0,$C51*L$15,"")</f>
        <v/>
      </c>
      <c r="N51" s="79" t="str">
        <f>IF(N$15&gt;0,$C51*N$15,"")</f>
        <v/>
      </c>
      <c r="Q51" s="77"/>
    </row>
    <row r="52" spans="1:17" x14ac:dyDescent="0.25">
      <c r="B52" s="30" t="s">
        <v>89</v>
      </c>
      <c r="C52" s="50"/>
      <c r="H52" s="76"/>
      <c r="J52" s="79" t="str">
        <f>IF(J$15&gt;0,$C52*J$15,"")</f>
        <v/>
      </c>
      <c r="L52" s="79" t="str">
        <f>IF(L$15&gt;0,$C52*L$15,"")</f>
        <v/>
      </c>
      <c r="N52" s="79" t="str">
        <f>IF(N$15&gt;0,$C52*N$15,"")</f>
        <v/>
      </c>
      <c r="Q52" s="77"/>
    </row>
    <row r="53" spans="1:17" x14ac:dyDescent="0.25">
      <c r="B53" s="30" t="s">
        <v>85</v>
      </c>
      <c r="C53" s="50"/>
      <c r="H53" s="76"/>
      <c r="J53" s="79" t="str">
        <f>IF(J$15&gt;0,$C53*J$15,"")</f>
        <v/>
      </c>
      <c r="L53" s="79" t="str">
        <f>IF(L$15&gt;0,$C53*L$15,"")</f>
        <v/>
      </c>
      <c r="N53" s="79" t="str">
        <f>IF(N$15&gt;0,$C53*N$15,"")</f>
        <v/>
      </c>
      <c r="Q53" s="77"/>
    </row>
    <row r="54" spans="1:17" x14ac:dyDescent="0.25">
      <c r="C54" s="27"/>
      <c r="H54" s="76"/>
      <c r="Q54" s="77"/>
    </row>
    <row r="55" spans="1:17" x14ac:dyDescent="0.25">
      <c r="B55" s="32" t="s">
        <v>90</v>
      </c>
      <c r="C55" s="33">
        <f>SUM(C49:C53)</f>
        <v>0</v>
      </c>
      <c r="H55" s="76"/>
      <c r="J55" s="81">
        <f>IF(J$15&gt;0,J49+J50+J51+J52+J53,)</f>
        <v>0</v>
      </c>
      <c r="L55" s="81">
        <f>IF(L$15&gt;0,L49+L50+L51+L52+L53,)</f>
        <v>0</v>
      </c>
      <c r="N55" s="81">
        <f>IF(N$15&gt;0,N49+N50+N51+N52+N53,)</f>
        <v>0</v>
      </c>
      <c r="P55" s="81" t="str">
        <f>IF((J15+L15+N15)=0,"",J55+L55+N55)</f>
        <v/>
      </c>
      <c r="Q55" s="77"/>
    </row>
    <row r="56" spans="1:17" x14ac:dyDescent="0.25">
      <c r="H56" s="76"/>
      <c r="Q56" s="77"/>
    </row>
    <row r="57" spans="1:17" ht="16.5" thickBot="1" x14ac:dyDescent="0.3">
      <c r="C57" s="36"/>
      <c r="H57" s="76"/>
      <c r="J57" s="36"/>
      <c r="L57" s="36"/>
      <c r="N57" s="36"/>
      <c r="P57" s="36"/>
      <c r="Q57" s="77"/>
    </row>
    <row r="58" spans="1:17" x14ac:dyDescent="0.25">
      <c r="A58" s="37" t="s">
        <v>91</v>
      </c>
      <c r="C58" s="33">
        <f>IF(E11&lt;&gt;1,E21+C45+C55,C21+C45+C55)</f>
        <v>0</v>
      </c>
      <c r="H58" s="76"/>
      <c r="J58" s="81">
        <f>IF(J$15&gt;0,J21+J45+J55,)</f>
        <v>0</v>
      </c>
      <c r="L58" s="81">
        <f>IF(L$15&gt;0,L21+L45+L55,)</f>
        <v>0</v>
      </c>
      <c r="N58" s="81">
        <f>IF(N$15&gt;0,N21+N45+N55,)</f>
        <v>0</v>
      </c>
      <c r="P58" s="81" t="str">
        <f>IF((J15+L15+N15)=0,"",J58+L58+N58)</f>
        <v/>
      </c>
      <c r="Q58" s="77"/>
    </row>
    <row r="59" spans="1:17" ht="16.5" thickBot="1" x14ac:dyDescent="0.3">
      <c r="A59" s="37" t="s">
        <v>92</v>
      </c>
      <c r="H59" s="82"/>
      <c r="I59" s="83"/>
      <c r="J59" s="83"/>
      <c r="K59" s="83"/>
      <c r="L59" s="83"/>
      <c r="M59" s="83"/>
      <c r="N59" s="83"/>
      <c r="O59" s="83"/>
      <c r="P59" s="83"/>
      <c r="Q59" s="84"/>
    </row>
  </sheetData>
  <sheetProtection algorithmName="SHA-512" hashValue="jCNK/VDVbexTWKUUGC6ijIw4qP+7hSEMWskVDHgF0aplXLH9XdEWEqy8N6hly8dhsOiMpv0fTSjLxZ5oM/MY2A==" saltValue="Az8X84vBB5qbcHuKPTJu4Q==" spinCount="100000" sheet="1" objects="1" scenarios="1"/>
  <mergeCells count="6">
    <mergeCell ref="A2:G5"/>
    <mergeCell ref="L11:P11"/>
    <mergeCell ref="L12:P12"/>
    <mergeCell ref="A8:E10"/>
    <mergeCell ref="I8:P9"/>
    <mergeCell ref="L10:P10"/>
  </mergeCells>
  <hyperlinks>
    <hyperlink ref="A26" r:id="rId1" location="/" xr:uid="{28F7059C-690D-4E13-8559-55C56CFC8BC7}"/>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72F6A-81D8-460B-A6AE-FBCA0481D980}">
  <sheetPr>
    <tabColor rgb="FFCCCCFF"/>
  </sheetPr>
  <dimension ref="A1:C34"/>
  <sheetViews>
    <sheetView workbookViewId="0"/>
  </sheetViews>
  <sheetFormatPr defaultRowHeight="18.75" x14ac:dyDescent="0.3"/>
  <cols>
    <col min="1" max="1" width="9.140625" style="29"/>
    <col min="2" max="2" width="11.42578125" style="40" bestFit="1" customWidth="1"/>
    <col min="3" max="16384" width="9.140625" style="41"/>
  </cols>
  <sheetData>
    <row r="1" spans="1:3" ht="23.25" x14ac:dyDescent="0.35">
      <c r="A1" s="89" t="s">
        <v>96</v>
      </c>
    </row>
    <row r="3" spans="1:3" ht="21" x14ac:dyDescent="0.35">
      <c r="A3" s="42" t="s">
        <v>105</v>
      </c>
    </row>
    <row r="4" spans="1:3" x14ac:dyDescent="0.3">
      <c r="B4" s="41"/>
    </row>
    <row r="5" spans="1:3" x14ac:dyDescent="0.3">
      <c r="B5" s="40">
        <f>IF('Benefits &amp; Expenses'!E$11&lt;&gt;1,'Benefits &amp; Expenses'!E17,'Benefits &amp; Expenses'!C17)</f>
        <v>0</v>
      </c>
      <c r="C5" s="41" t="s">
        <v>62</v>
      </c>
    </row>
    <row r="7" spans="1:3" x14ac:dyDescent="0.3">
      <c r="B7" s="40">
        <f>IF('Benefits &amp; Expenses'!E$11&lt;&gt;1,'Benefits &amp; Expenses'!E19,'Benefits &amp; Expenses'!C19)</f>
        <v>0</v>
      </c>
      <c r="C7" s="41" t="s">
        <v>63</v>
      </c>
    </row>
    <row r="8" spans="1:3" x14ac:dyDescent="0.3">
      <c r="B8" s="43"/>
    </row>
    <row r="9" spans="1:3" x14ac:dyDescent="0.3">
      <c r="B9" s="44">
        <f>B5+B7</f>
        <v>0</v>
      </c>
      <c r="C9" s="29" t="s">
        <v>97</v>
      </c>
    </row>
    <row r="12" spans="1:3" ht="21" x14ac:dyDescent="0.35">
      <c r="A12" s="42" t="s">
        <v>113</v>
      </c>
    </row>
    <row r="13" spans="1:3" x14ac:dyDescent="0.3">
      <c r="B13" s="40">
        <f>'Benefits &amp; Expenses'!C33</f>
        <v>0</v>
      </c>
      <c r="C13" s="41" t="s">
        <v>79</v>
      </c>
    </row>
    <row r="14" spans="1:3" x14ac:dyDescent="0.3">
      <c r="B14" s="40">
        <f>'Benefits &amp; Expenses'!C34</f>
        <v>0</v>
      </c>
      <c r="C14" s="41" t="s">
        <v>80</v>
      </c>
    </row>
    <row r="15" spans="1:3" x14ac:dyDescent="0.3">
      <c r="B15" s="40">
        <f>'Benefits &amp; Expenses'!C35</f>
        <v>0</v>
      </c>
      <c r="C15" s="41" t="s">
        <v>81</v>
      </c>
    </row>
    <row r="16" spans="1:3" x14ac:dyDescent="0.3">
      <c r="B16" s="43">
        <f>'Benefits &amp; Expenses'!C36</f>
        <v>0</v>
      </c>
      <c r="C16" s="41" t="s">
        <v>106</v>
      </c>
    </row>
    <row r="17" spans="1:3" x14ac:dyDescent="0.3">
      <c r="B17" s="40">
        <f>SUM(B13:B16)</f>
        <v>0</v>
      </c>
      <c r="C17" s="41" t="s">
        <v>98</v>
      </c>
    </row>
    <row r="19" spans="1:3" x14ac:dyDescent="0.3">
      <c r="B19" s="40">
        <f>'Benefits &amp; Expenses'!C43</f>
        <v>0</v>
      </c>
      <c r="C19" s="41" t="s">
        <v>99</v>
      </c>
    </row>
    <row r="21" spans="1:3" x14ac:dyDescent="0.3">
      <c r="B21" s="44">
        <f>B17+B19</f>
        <v>0</v>
      </c>
      <c r="C21" s="29" t="s">
        <v>100</v>
      </c>
    </row>
    <row r="24" spans="1:3" ht="21" x14ac:dyDescent="0.35">
      <c r="A24" s="42" t="s">
        <v>101</v>
      </c>
    </row>
    <row r="25" spans="1:3" x14ac:dyDescent="0.3">
      <c r="B25" s="40">
        <f>'Benefits &amp; Expenses'!C49</f>
        <v>0</v>
      </c>
      <c r="C25" s="41" t="s">
        <v>86</v>
      </c>
    </row>
    <row r="26" spans="1:3" x14ac:dyDescent="0.3">
      <c r="B26" s="40">
        <f>'Benefits &amp; Expenses'!C50</f>
        <v>0</v>
      </c>
      <c r="C26" s="41" t="s">
        <v>87</v>
      </c>
    </row>
    <row r="27" spans="1:3" x14ac:dyDescent="0.3">
      <c r="B27" s="40">
        <f>'Benefits &amp; Expenses'!C51</f>
        <v>0</v>
      </c>
      <c r="C27" s="41" t="s">
        <v>88</v>
      </c>
    </row>
    <row r="28" spans="1:3" x14ac:dyDescent="0.3">
      <c r="B28" s="40">
        <f>'Benefits &amp; Expenses'!C52</f>
        <v>0</v>
      </c>
      <c r="C28" s="41" t="s">
        <v>89</v>
      </c>
    </row>
    <row r="29" spans="1:3" x14ac:dyDescent="0.3">
      <c r="B29" s="40">
        <f>'Benefits &amp; Expenses'!C53</f>
        <v>0</v>
      </c>
      <c r="C29" s="41" t="s">
        <v>102</v>
      </c>
    </row>
    <row r="31" spans="1:3" x14ac:dyDescent="0.3">
      <c r="B31" s="44">
        <f>SUM(B25:B29)</f>
        <v>0</v>
      </c>
      <c r="C31" s="29" t="s">
        <v>103</v>
      </c>
    </row>
    <row r="33" spans="2:3" ht="19.5" thickBot="1" x14ac:dyDescent="0.35">
      <c r="B33" s="68"/>
    </row>
    <row r="34" spans="2:3" ht="21.75" thickTop="1" x14ac:dyDescent="0.35">
      <c r="B34" s="45">
        <f>B9+B21+B31</f>
        <v>0</v>
      </c>
      <c r="C34" s="42" t="s">
        <v>104</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DD29F-3CEF-462C-8FAB-977125DDC9B3}">
  <sheetPr>
    <tabColor rgb="FFFFCC99"/>
    <pageSetUpPr fitToPage="1"/>
  </sheetPr>
  <dimension ref="A1:L42"/>
  <sheetViews>
    <sheetView workbookViewId="0"/>
  </sheetViews>
  <sheetFormatPr defaultRowHeight="18.75" x14ac:dyDescent="0.3"/>
  <cols>
    <col min="1" max="1" width="9.140625" style="29"/>
    <col min="2" max="2" width="26.140625" style="41" customWidth="1"/>
    <col min="3" max="3" width="2.7109375" style="41" customWidth="1"/>
    <col min="4" max="4" width="10" style="41" customWidth="1"/>
    <col min="5" max="5" width="5.140625" style="41" customWidth="1"/>
    <col min="6" max="6" width="10" style="41" customWidth="1"/>
    <col min="7" max="7" width="5.140625" style="41" customWidth="1"/>
    <col min="8" max="8" width="10" style="41" customWidth="1"/>
    <col min="9" max="9" width="5.140625" style="41" customWidth="1"/>
    <col min="10" max="10" width="10" style="41" customWidth="1"/>
    <col min="11" max="11" width="5.140625" style="41" customWidth="1"/>
    <col min="12" max="12" width="10" style="41" customWidth="1"/>
    <col min="13" max="16384" width="9.140625" style="41"/>
  </cols>
  <sheetData>
    <row r="1" spans="1:12" ht="23.25" x14ac:dyDescent="0.35">
      <c r="A1" s="89" t="s">
        <v>96</v>
      </c>
    </row>
    <row r="2" spans="1:12" ht="13.5" customHeight="1" x14ac:dyDescent="0.35">
      <c r="A2" s="39"/>
    </row>
    <row r="3" spans="1:12" ht="23.25" x14ac:dyDescent="0.35">
      <c r="A3" s="39"/>
      <c r="D3" s="72">
        <f>'Benefits &amp; Expenses'!L10</f>
        <v>0</v>
      </c>
      <c r="E3" s="70"/>
      <c r="F3" s="70"/>
      <c r="G3" s="70"/>
      <c r="H3" s="71"/>
    </row>
    <row r="4" spans="1:12" ht="13.5" customHeight="1" x14ac:dyDescent="0.35">
      <c r="A4" s="39"/>
      <c r="D4" s="63"/>
    </row>
    <row r="5" spans="1:12" ht="23.25" x14ac:dyDescent="0.35">
      <c r="A5" s="39"/>
      <c r="D5" s="63"/>
      <c r="F5" s="72">
        <f>'Benefits &amp; Expenses'!L11</f>
        <v>0</v>
      </c>
      <c r="G5" s="70"/>
      <c r="H5" s="70"/>
      <c r="I5" s="70"/>
      <c r="J5" s="71"/>
    </row>
    <row r="6" spans="1:12" ht="13.5" customHeight="1" x14ac:dyDescent="0.35">
      <c r="A6" s="39"/>
      <c r="D6" s="63"/>
      <c r="F6" s="63"/>
    </row>
    <row r="7" spans="1:12" ht="23.25" x14ac:dyDescent="0.35">
      <c r="A7" s="39"/>
      <c r="D7" s="63"/>
      <c r="F7" s="63"/>
      <c r="H7" s="72">
        <f>'Benefits &amp; Expenses'!L12</f>
        <v>0</v>
      </c>
      <c r="I7" s="70"/>
      <c r="J7" s="70"/>
      <c r="K7" s="70"/>
      <c r="L7" s="71"/>
    </row>
    <row r="8" spans="1:12" ht="13.5" customHeight="1" x14ac:dyDescent="0.35">
      <c r="A8" s="39"/>
      <c r="D8" s="63"/>
      <c r="F8" s="63"/>
      <c r="H8" s="63"/>
    </row>
    <row r="9" spans="1:12" ht="23.25" x14ac:dyDescent="0.35">
      <c r="A9" s="39"/>
      <c r="B9" s="60" t="s">
        <v>127</v>
      </c>
      <c r="D9" s="64">
        <f>'Benefits &amp; Expenses'!J15</f>
        <v>0</v>
      </c>
      <c r="F9" s="64">
        <f>'Benefits &amp; Expenses'!L15</f>
        <v>0</v>
      </c>
      <c r="H9" s="64">
        <f>'Benefits &amp; Expenses'!N15</f>
        <v>0</v>
      </c>
      <c r="J9" s="61" t="s">
        <v>123</v>
      </c>
    </row>
    <row r="10" spans="1:12" x14ac:dyDescent="0.3">
      <c r="D10" s="63"/>
      <c r="F10" s="63"/>
      <c r="H10" s="63"/>
    </row>
    <row r="11" spans="1:12" ht="21" x14ac:dyDescent="0.35">
      <c r="A11" s="42" t="s">
        <v>133</v>
      </c>
      <c r="D11" s="63"/>
      <c r="F11" s="63"/>
      <c r="H11" s="63"/>
    </row>
    <row r="12" spans="1:12" ht="21" x14ac:dyDescent="0.35">
      <c r="A12" s="42" t="s">
        <v>134</v>
      </c>
      <c r="D12" s="63"/>
      <c r="F12" s="63"/>
      <c r="H12" s="63"/>
    </row>
    <row r="13" spans="1:12" x14ac:dyDescent="0.3">
      <c r="D13" s="63"/>
      <c r="F13" s="63"/>
      <c r="H13" s="63"/>
    </row>
    <row r="14" spans="1:12" x14ac:dyDescent="0.3">
      <c r="B14" s="60" t="s">
        <v>62</v>
      </c>
      <c r="D14" s="65" t="str">
        <f>'Benefits &amp; Expenses'!J17</f>
        <v/>
      </c>
      <c r="F14" s="65" t="str">
        <f>'Benefits &amp; Expenses'!L17</f>
        <v/>
      </c>
      <c r="H14" s="65" t="str">
        <f>'Benefits &amp; Expenses'!N17</f>
        <v/>
      </c>
      <c r="J14" s="40">
        <f>IF('Benefits &amp; Expenses'!E$11&lt;&gt;1,'Benefits &amp; Expenses'!E17,'Benefits &amp; Expenses'!C17)</f>
        <v>0</v>
      </c>
    </row>
    <row r="15" spans="1:12" x14ac:dyDescent="0.3">
      <c r="B15" s="60"/>
      <c r="D15" s="63"/>
      <c r="F15" s="63"/>
      <c r="H15" s="63"/>
      <c r="J15" s="40"/>
    </row>
    <row r="16" spans="1:12" x14ac:dyDescent="0.3">
      <c r="B16" s="60" t="s">
        <v>132</v>
      </c>
      <c r="D16" s="65" t="str">
        <f>'Benefits &amp; Expenses'!J19</f>
        <v/>
      </c>
      <c r="F16" s="65" t="str">
        <f>'Benefits &amp; Expenses'!L19</f>
        <v/>
      </c>
      <c r="H16" s="65" t="str">
        <f>'Benefits &amp; Expenses'!N19</f>
        <v/>
      </c>
      <c r="J16" s="40">
        <f>IF('Benefits &amp; Expenses'!E$11&lt;&gt;1,'Benefits &amp; Expenses'!E19,'Benefits &amp; Expenses'!C19)</f>
        <v>0</v>
      </c>
    </row>
    <row r="17" spans="1:10" x14ac:dyDescent="0.3">
      <c r="B17" s="60"/>
      <c r="D17" s="63"/>
      <c r="F17" s="63"/>
      <c r="H17" s="63"/>
      <c r="J17" s="43"/>
    </row>
    <row r="18" spans="1:10" x14ac:dyDescent="0.3">
      <c r="B18" s="61" t="s">
        <v>97</v>
      </c>
      <c r="D18" s="66">
        <f>SUM(D14:D17)</f>
        <v>0</v>
      </c>
      <c r="F18" s="66">
        <f>SUM(F14:F17)</f>
        <v>0</v>
      </c>
      <c r="H18" s="66">
        <f>SUM(H14:H17)</f>
        <v>0</v>
      </c>
      <c r="J18" s="44">
        <f>J14+J16</f>
        <v>0</v>
      </c>
    </row>
    <row r="19" spans="1:10" x14ac:dyDescent="0.3">
      <c r="B19" s="60"/>
      <c r="D19" s="63"/>
      <c r="F19" s="63"/>
      <c r="H19" s="63"/>
      <c r="J19" s="40"/>
    </row>
    <row r="20" spans="1:10" ht="21" x14ac:dyDescent="0.35">
      <c r="A20" s="42" t="s">
        <v>130</v>
      </c>
      <c r="B20" s="60"/>
      <c r="D20" s="63"/>
      <c r="F20" s="63"/>
      <c r="H20" s="63"/>
      <c r="J20" s="40"/>
    </row>
    <row r="21" spans="1:10" ht="21" x14ac:dyDescent="0.35">
      <c r="A21" s="42" t="s">
        <v>131</v>
      </c>
      <c r="B21" s="60"/>
      <c r="D21" s="63"/>
      <c r="F21" s="63"/>
      <c r="H21" s="63"/>
      <c r="J21" s="40"/>
    </row>
    <row r="22" spans="1:10" x14ac:dyDescent="0.3">
      <c r="B22" s="60" t="s">
        <v>79</v>
      </c>
      <c r="D22" s="65" t="str">
        <f>'Benefits &amp; Expenses'!J33</f>
        <v/>
      </c>
      <c r="F22" s="65" t="str">
        <f>'Benefits &amp; Expenses'!L33</f>
        <v/>
      </c>
      <c r="H22" s="65" t="str">
        <f>'Benefits &amp; Expenses'!N33</f>
        <v/>
      </c>
      <c r="J22" s="40">
        <f>'Benefits &amp; Expenses'!C33</f>
        <v>0</v>
      </c>
    </row>
    <row r="23" spans="1:10" x14ac:dyDescent="0.3">
      <c r="B23" s="60" t="s">
        <v>80</v>
      </c>
      <c r="D23" s="65" t="str">
        <f>'Benefits &amp; Expenses'!J34</f>
        <v/>
      </c>
      <c r="F23" s="65" t="str">
        <f>'Benefits &amp; Expenses'!L34</f>
        <v/>
      </c>
      <c r="H23" s="65" t="str">
        <f>'Benefits &amp; Expenses'!N34</f>
        <v/>
      </c>
      <c r="J23" s="40">
        <f>'Benefits &amp; Expenses'!C34</f>
        <v>0</v>
      </c>
    </row>
    <row r="24" spans="1:10" x14ac:dyDescent="0.3">
      <c r="B24" s="60" t="s">
        <v>81</v>
      </c>
      <c r="D24" s="65" t="str">
        <f>'Benefits &amp; Expenses'!J35</f>
        <v/>
      </c>
      <c r="F24" s="65" t="str">
        <f>'Benefits &amp; Expenses'!L35</f>
        <v/>
      </c>
      <c r="H24" s="65" t="str">
        <f>'Benefits &amp; Expenses'!N35</f>
        <v/>
      </c>
      <c r="J24" s="40">
        <f>'Benefits &amp; Expenses'!C35</f>
        <v>0</v>
      </c>
    </row>
    <row r="25" spans="1:10" x14ac:dyDescent="0.3">
      <c r="B25" s="60" t="s">
        <v>106</v>
      </c>
      <c r="D25" s="65" t="str">
        <f>'Benefits &amp; Expenses'!J36</f>
        <v/>
      </c>
      <c r="F25" s="65" t="str">
        <f>'Benefits &amp; Expenses'!L36</f>
        <v/>
      </c>
      <c r="H25" s="65" t="str">
        <f>'Benefits &amp; Expenses'!N36</f>
        <v/>
      </c>
      <c r="J25" s="43">
        <f>'Benefits &amp; Expenses'!C36</f>
        <v>0</v>
      </c>
    </row>
    <row r="26" spans="1:10" x14ac:dyDescent="0.3">
      <c r="B26" s="60" t="s">
        <v>98</v>
      </c>
      <c r="D26" s="65" t="str">
        <f>'Benefits &amp; Expenses'!J37</f>
        <v/>
      </c>
      <c r="F26" s="65" t="str">
        <f>'Benefits &amp; Expenses'!L37</f>
        <v/>
      </c>
      <c r="H26" s="65" t="str">
        <f>'Benefits &amp; Expenses'!N37</f>
        <v/>
      </c>
      <c r="J26" s="40">
        <f>SUM(J22:J25)</f>
        <v>0</v>
      </c>
    </row>
    <row r="27" spans="1:10" x14ac:dyDescent="0.3">
      <c r="B27" s="60"/>
      <c r="D27" s="63"/>
      <c r="F27" s="63"/>
      <c r="H27" s="63"/>
      <c r="J27" s="40"/>
    </row>
    <row r="28" spans="1:10" x14ac:dyDescent="0.3">
      <c r="B28" s="60" t="s">
        <v>99</v>
      </c>
      <c r="D28" s="65" t="str">
        <f>'Benefits &amp; Expenses'!J43</f>
        <v/>
      </c>
      <c r="F28" s="65" t="str">
        <f>'Benefits &amp; Expenses'!L43</f>
        <v/>
      </c>
      <c r="H28" s="65" t="str">
        <f>'Benefits &amp; Expenses'!N43</f>
        <v/>
      </c>
      <c r="J28" s="40">
        <f>'Benefits &amp; Expenses'!C43</f>
        <v>0</v>
      </c>
    </row>
    <row r="29" spans="1:10" x14ac:dyDescent="0.3">
      <c r="B29" s="60"/>
      <c r="D29" s="63"/>
      <c r="F29" s="63"/>
      <c r="H29" s="63"/>
      <c r="J29" s="40"/>
    </row>
    <row r="30" spans="1:10" x14ac:dyDescent="0.3">
      <c r="B30" s="61" t="s">
        <v>100</v>
      </c>
      <c r="D30" s="66">
        <f>SUM(D22:D29)</f>
        <v>0</v>
      </c>
      <c r="F30" s="66">
        <f>SUM(F22:F29)</f>
        <v>0</v>
      </c>
      <c r="H30" s="66">
        <f>SUM(H22:H29)</f>
        <v>0</v>
      </c>
      <c r="J30" s="44">
        <f>J26+J28</f>
        <v>0</v>
      </c>
    </row>
    <row r="31" spans="1:10" x14ac:dyDescent="0.3">
      <c r="B31" s="60"/>
      <c r="D31" s="63"/>
      <c r="F31" s="63"/>
      <c r="H31" s="63"/>
      <c r="J31" s="40"/>
    </row>
    <row r="32" spans="1:10" ht="21" x14ac:dyDescent="0.35">
      <c r="A32" s="42" t="s">
        <v>101</v>
      </c>
      <c r="B32" s="60"/>
      <c r="D32" s="63"/>
      <c r="F32" s="63"/>
      <c r="H32" s="63"/>
      <c r="J32" s="40"/>
    </row>
    <row r="33" spans="2:10" x14ac:dyDescent="0.3">
      <c r="B33" s="60" t="s">
        <v>86</v>
      </c>
      <c r="D33" s="65" t="str">
        <f>'Benefits &amp; Expenses'!J49</f>
        <v/>
      </c>
      <c r="F33" s="65" t="str">
        <f>'Benefits &amp; Expenses'!L49</f>
        <v/>
      </c>
      <c r="H33" s="65" t="str">
        <f>'Benefits &amp; Expenses'!N49</f>
        <v/>
      </c>
      <c r="J33" s="40">
        <f>'Benefits &amp; Expenses'!C49</f>
        <v>0</v>
      </c>
    </row>
    <row r="34" spans="2:10" x14ac:dyDescent="0.3">
      <c r="B34" s="60" t="s">
        <v>87</v>
      </c>
      <c r="D34" s="65" t="str">
        <f>'Benefits &amp; Expenses'!J50</f>
        <v/>
      </c>
      <c r="F34" s="65" t="str">
        <f>'Benefits &amp; Expenses'!L50</f>
        <v/>
      </c>
      <c r="H34" s="65" t="str">
        <f>'Benefits &amp; Expenses'!N50</f>
        <v/>
      </c>
      <c r="J34" s="40">
        <f>'Benefits &amp; Expenses'!C50</f>
        <v>0</v>
      </c>
    </row>
    <row r="35" spans="2:10" x14ac:dyDescent="0.3">
      <c r="B35" s="60" t="s">
        <v>88</v>
      </c>
      <c r="D35" s="65" t="str">
        <f>'Benefits &amp; Expenses'!J51</f>
        <v/>
      </c>
      <c r="F35" s="65" t="str">
        <f>'Benefits &amp; Expenses'!L51</f>
        <v/>
      </c>
      <c r="H35" s="65" t="str">
        <f>'Benefits &amp; Expenses'!N51</f>
        <v/>
      </c>
      <c r="J35" s="40">
        <f>'Benefits &amp; Expenses'!C51</f>
        <v>0</v>
      </c>
    </row>
    <row r="36" spans="2:10" x14ac:dyDescent="0.3">
      <c r="B36" s="60" t="s">
        <v>89</v>
      </c>
      <c r="D36" s="65" t="str">
        <f>'Benefits &amp; Expenses'!J52</f>
        <v/>
      </c>
      <c r="F36" s="65" t="str">
        <f>'Benefits &amp; Expenses'!L52</f>
        <v/>
      </c>
      <c r="H36" s="65" t="str">
        <f>'Benefits &amp; Expenses'!N52</f>
        <v/>
      </c>
      <c r="J36" s="40">
        <f>'Benefits &amp; Expenses'!C52</f>
        <v>0</v>
      </c>
    </row>
    <row r="37" spans="2:10" x14ac:dyDescent="0.3">
      <c r="B37" s="60" t="s">
        <v>102</v>
      </c>
      <c r="D37" s="65" t="str">
        <f>'Benefits &amp; Expenses'!J53</f>
        <v/>
      </c>
      <c r="F37" s="65" t="str">
        <f>'Benefits &amp; Expenses'!L53</f>
        <v/>
      </c>
      <c r="H37" s="65" t="str">
        <f>'Benefits &amp; Expenses'!N53</f>
        <v/>
      </c>
      <c r="J37" s="40">
        <f>'Benefits &amp; Expenses'!C53</f>
        <v>0</v>
      </c>
    </row>
    <row r="38" spans="2:10" x14ac:dyDescent="0.3">
      <c r="B38" s="60"/>
      <c r="D38" s="63"/>
      <c r="F38" s="63"/>
      <c r="H38" s="63"/>
      <c r="J38" s="40"/>
    </row>
    <row r="39" spans="2:10" x14ac:dyDescent="0.3">
      <c r="B39" s="61" t="s">
        <v>103</v>
      </c>
      <c r="D39" s="66">
        <f>SUM(D33:D38)</f>
        <v>0</v>
      </c>
      <c r="F39" s="66">
        <f>SUM(F33:F38)</f>
        <v>0</v>
      </c>
      <c r="H39" s="66">
        <f>SUM(H33:H38)</f>
        <v>0</v>
      </c>
      <c r="J39" s="44">
        <f>SUM(J33:J37)</f>
        <v>0</v>
      </c>
    </row>
    <row r="40" spans="2:10" x14ac:dyDescent="0.3">
      <c r="B40" s="60"/>
      <c r="D40" s="63"/>
      <c r="F40" s="63"/>
      <c r="H40" s="63"/>
      <c r="J40" s="40"/>
    </row>
    <row r="41" spans="2:10" ht="21.75" thickBot="1" x14ac:dyDescent="0.4">
      <c r="B41" s="62" t="s">
        <v>128</v>
      </c>
      <c r="D41" s="69"/>
      <c r="F41" s="69"/>
      <c r="H41" s="69"/>
      <c r="J41" s="87"/>
    </row>
    <row r="42" spans="2:10" ht="21.75" thickTop="1" x14ac:dyDescent="0.35">
      <c r="B42" s="62" t="s">
        <v>129</v>
      </c>
      <c r="D42" s="67">
        <f>D39+D30+D18</f>
        <v>0</v>
      </c>
      <c r="F42" s="67">
        <f>F39+F30+F18</f>
        <v>0</v>
      </c>
      <c r="H42" s="67">
        <f>H39+H30+H18</f>
        <v>0</v>
      </c>
      <c r="J42" s="44">
        <f>J18+J30+J39</f>
        <v>0</v>
      </c>
    </row>
  </sheetData>
  <pageMargins left="0.7" right="0.7" top="0.75" bottom="0.75" header="0.3" footer="0.3"/>
  <pageSetup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Compensation Calculations</vt:lpstr>
      <vt:lpstr>Benefits &amp; Expenses</vt:lpstr>
      <vt:lpstr>Printable Summary</vt:lpstr>
      <vt:lpstr>Printable Summary - Shared Call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 Phillips</dc:creator>
  <cp:lastModifiedBy>Mitch Phillips</cp:lastModifiedBy>
  <cp:lastPrinted>2022-03-25T03:27:27Z</cp:lastPrinted>
  <dcterms:created xsi:type="dcterms:W3CDTF">2022-01-16T21:15:39Z</dcterms:created>
  <dcterms:modified xsi:type="dcterms:W3CDTF">2022-10-20T14:50:57Z</dcterms:modified>
</cp:coreProperties>
</file>