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ishopAsst\Google Drive\_Pr.Mitch.Phillips Files\NEOS\Compensation Standards Team\"/>
    </mc:Choice>
  </mc:AlternateContent>
  <xr:revisionPtr revIDLastSave="0" documentId="8_{CAE6081A-0003-4275-98F7-C90CB155E034}" xr6:coauthVersionLast="47" xr6:coauthVersionMax="47" xr10:uidLastSave="{00000000-0000-0000-0000-000000000000}"/>
  <bookViews>
    <workbookView xWindow="1905" yWindow="1905" windowWidth="21585" windowHeight="12735" activeTab="1" xr2:uid="{4B1AADFF-8D70-4895-86EF-5936CD65B5B2}"/>
  </bookViews>
  <sheets>
    <sheet name="Instructions" sheetId="6" r:id="rId1"/>
    <sheet name="Compensation WITH PARSONAGE" sheetId="9" r:id="rId2"/>
    <sheet name="Benefits &amp; Expenses" sheetId="2" r:id="rId3"/>
    <sheet name="Printable Summary" sheetId="3" r:id="rId4"/>
    <sheet name="Printable Summary - Shared Call" sheetId="4" r:id="rId5"/>
    <sheet name="Change Log"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9" l="1"/>
  <c r="B11" i="3" s="1"/>
  <c r="D29" i="9"/>
  <c r="C17" i="2" s="1"/>
  <c r="D26" i="9"/>
  <c r="D27" i="9" s="1"/>
  <c r="D17" i="9"/>
  <c r="D10" i="9"/>
  <c r="D13" i="9" s="1"/>
  <c r="D7" i="9"/>
  <c r="M33" i="7"/>
  <c r="L33" i="7"/>
  <c r="K33" i="7"/>
  <c r="M32" i="7"/>
  <c r="L32" i="7"/>
  <c r="K32" i="7"/>
  <c r="I33" i="7"/>
  <c r="I32" i="7"/>
  <c r="F27" i="7"/>
  <c r="F29" i="7" s="1"/>
  <c r="H26" i="7"/>
  <c r="H25" i="7"/>
  <c r="H27" i="7" s="1"/>
  <c r="H22" i="7"/>
  <c r="H23" i="7" s="1"/>
  <c r="F23" i="7"/>
  <c r="F30" i="7" s="1"/>
  <c r="O19" i="7"/>
  <c r="N19" i="7"/>
  <c r="M19" i="7"/>
  <c r="K19" i="7"/>
  <c r="L19" i="7" s="1"/>
  <c r="O14" i="7"/>
  <c r="N14" i="7"/>
  <c r="M14" i="7"/>
  <c r="K14" i="7"/>
  <c r="P14" i="7" s="1"/>
  <c r="O9" i="7"/>
  <c r="N9" i="7"/>
  <c r="M9" i="7"/>
  <c r="K9" i="7"/>
  <c r="L9" i="7" s="1"/>
  <c r="O18" i="7"/>
  <c r="N18" i="7"/>
  <c r="M18" i="7"/>
  <c r="K18" i="7"/>
  <c r="L18" i="7" s="1"/>
  <c r="O13" i="7"/>
  <c r="N13" i="7"/>
  <c r="M13" i="7"/>
  <c r="K13" i="7"/>
  <c r="L13" i="7" s="1"/>
  <c r="O8" i="7"/>
  <c r="N8" i="7"/>
  <c r="M8" i="7"/>
  <c r="K8" i="7"/>
  <c r="L8" i="7" s="1"/>
  <c r="F13" i="7"/>
  <c r="H7" i="7"/>
  <c r="D55" i="9"/>
  <c r="D56" i="9" s="1"/>
  <c r="D47" i="9"/>
  <c r="Q15" i="2"/>
  <c r="H7" i="4"/>
  <c r="F5" i="4"/>
  <c r="H9" i="4"/>
  <c r="F9" i="4"/>
  <c r="D9" i="4"/>
  <c r="D3" i="4"/>
  <c r="J37" i="4"/>
  <c r="J36" i="4"/>
  <c r="J35" i="4"/>
  <c r="J34" i="4"/>
  <c r="J33" i="4"/>
  <c r="J25" i="4"/>
  <c r="J24" i="4"/>
  <c r="J23" i="4"/>
  <c r="J22" i="4"/>
  <c r="P15" i="2"/>
  <c r="N53" i="2"/>
  <c r="H37" i="4" s="1"/>
  <c r="L53" i="2"/>
  <c r="F37" i="4" s="1"/>
  <c r="J53" i="2"/>
  <c r="D37" i="4" s="1"/>
  <c r="N52" i="2"/>
  <c r="H36" i="4" s="1"/>
  <c r="L52" i="2"/>
  <c r="F36" i="4" s="1"/>
  <c r="J52" i="2"/>
  <c r="D36" i="4" s="1"/>
  <c r="N51" i="2"/>
  <c r="H35" i="4" s="1"/>
  <c r="L51" i="2"/>
  <c r="F35" i="4" s="1"/>
  <c r="J51" i="2"/>
  <c r="D35" i="4" s="1"/>
  <c r="N50" i="2"/>
  <c r="H34" i="4" s="1"/>
  <c r="L50" i="2"/>
  <c r="F34" i="4" s="1"/>
  <c r="J50" i="2"/>
  <c r="D34" i="4" s="1"/>
  <c r="N49" i="2"/>
  <c r="L49" i="2"/>
  <c r="L55" i="2" s="1"/>
  <c r="J49" i="2"/>
  <c r="N42" i="2"/>
  <c r="L42" i="2"/>
  <c r="J42" i="2"/>
  <c r="N41" i="2"/>
  <c r="L41" i="2"/>
  <c r="J41" i="2"/>
  <c r="N40" i="2"/>
  <c r="L40" i="2"/>
  <c r="J40" i="2"/>
  <c r="N36" i="2"/>
  <c r="L36" i="2"/>
  <c r="F25" i="4" s="1"/>
  <c r="J36" i="2"/>
  <c r="D25" i="4" s="1"/>
  <c r="N35" i="2"/>
  <c r="H24" i="4" s="1"/>
  <c r="L35" i="2"/>
  <c r="F24" i="4" s="1"/>
  <c r="J35" i="2"/>
  <c r="D24" i="4" s="1"/>
  <c r="N34" i="2"/>
  <c r="H23" i="4" s="1"/>
  <c r="L34" i="2"/>
  <c r="F23" i="4" s="1"/>
  <c r="J34" i="2"/>
  <c r="D23" i="4" s="1"/>
  <c r="N33" i="2"/>
  <c r="H22" i="4" s="1"/>
  <c r="L33" i="2"/>
  <c r="J33" i="2"/>
  <c r="P18" i="7" l="1"/>
  <c r="Q18" i="7" s="1"/>
  <c r="P19" i="7"/>
  <c r="P9" i="7"/>
  <c r="H30" i="7"/>
  <c r="I30" i="7" s="1"/>
  <c r="P13" i="7"/>
  <c r="Q13" i="7" s="1"/>
  <c r="H29" i="7"/>
  <c r="D30" i="9"/>
  <c r="C18" i="2" s="1"/>
  <c r="B6" i="3" s="1"/>
  <c r="D31" i="9"/>
  <c r="C19" i="2" s="1"/>
  <c r="D48" i="9"/>
  <c r="I29" i="7"/>
  <c r="L14" i="7"/>
  <c r="Q14" i="7"/>
  <c r="P8" i="7"/>
  <c r="Q8" i="7" s="1"/>
  <c r="Q19" i="7"/>
  <c r="Q9" i="7"/>
  <c r="N55" i="2"/>
  <c r="P55" i="2" s="1"/>
  <c r="N43" i="2"/>
  <c r="H28" i="4" s="1"/>
  <c r="J55" i="2"/>
  <c r="N37" i="2"/>
  <c r="L37" i="2"/>
  <c r="F26" i="4" s="1"/>
  <c r="L43" i="2"/>
  <c r="F28" i="4" s="1"/>
  <c r="J37" i="2"/>
  <c r="F33" i="4"/>
  <c r="F39" i="4" s="1"/>
  <c r="F22" i="4"/>
  <c r="J43" i="2"/>
  <c r="D28" i="4" s="1"/>
  <c r="D33" i="4"/>
  <c r="D39" i="4" s="1"/>
  <c r="J26" i="4"/>
  <c r="H25" i="4"/>
  <c r="H33" i="4"/>
  <c r="H39" i="4" s="1"/>
  <c r="D22" i="4"/>
  <c r="J39" i="4"/>
  <c r="J19" i="2"/>
  <c r="D16" i="4" s="1"/>
  <c r="L19" i="2"/>
  <c r="F16" i="4" s="1"/>
  <c r="D32" i="9" l="1"/>
  <c r="C20" i="2" s="1"/>
  <c r="C21" i="2" s="1"/>
  <c r="D33" i="9"/>
  <c r="D14" i="9"/>
  <c r="D15" i="9"/>
  <c r="L45" i="2"/>
  <c r="H26" i="4"/>
  <c r="H30" i="4" s="1"/>
  <c r="N45" i="2"/>
  <c r="D26" i="4"/>
  <c r="D30" i="4" s="1"/>
  <c r="J45" i="2"/>
  <c r="F30" i="4"/>
  <c r="P45" i="2" l="1"/>
  <c r="B31" i="3" l="1"/>
  <c r="B30" i="3"/>
  <c r="B29" i="3"/>
  <c r="B28" i="3"/>
  <c r="B27" i="3"/>
  <c r="B18" i="3"/>
  <c r="B17" i="3"/>
  <c r="C43" i="2"/>
  <c r="B16" i="3"/>
  <c r="B15" i="3"/>
  <c r="C55" i="2"/>
  <c r="C37" i="2"/>
  <c r="B21" i="3" l="1"/>
  <c r="J28" i="4"/>
  <c r="J30" i="4" s="1"/>
  <c r="E17" i="2"/>
  <c r="J14" i="4" s="1"/>
  <c r="B33" i="3"/>
  <c r="C45" i="2"/>
  <c r="B19" i="3"/>
  <c r="B23" i="3" l="1"/>
  <c r="N17" i="2"/>
  <c r="N21" i="2" s="1"/>
  <c r="N58" i="2" s="1"/>
  <c r="L17" i="2"/>
  <c r="L21" i="2" s="1"/>
  <c r="L58" i="2" s="1"/>
  <c r="J17" i="2"/>
  <c r="J21" i="2" s="1"/>
  <c r="J58" i="2" s="1"/>
  <c r="B5" i="3"/>
  <c r="B9" i="3" s="1"/>
  <c r="E19" i="2"/>
  <c r="N19" i="2" s="1"/>
  <c r="H16" i="4" s="1"/>
  <c r="E21" i="2" l="1"/>
  <c r="J16" i="4"/>
  <c r="J18" i="4" s="1"/>
  <c r="J42" i="4" s="1"/>
  <c r="B7" i="3"/>
  <c r="H14" i="4"/>
  <c r="H18" i="4" s="1"/>
  <c r="H42" i="4" s="1"/>
  <c r="F14" i="4"/>
  <c r="F18" i="4" s="1"/>
  <c r="F42" i="4" s="1"/>
  <c r="P21" i="2"/>
  <c r="D14" i="4"/>
  <c r="D18" i="4" s="1"/>
  <c r="D42" i="4" s="1"/>
  <c r="B36" i="3" l="1"/>
  <c r="C30" i="2"/>
  <c r="C58" i="2"/>
  <c r="P58" i="2"/>
</calcChain>
</file>

<file path=xl/sharedStrings.xml><?xml version="1.0" encoding="utf-8"?>
<sst xmlns="http://schemas.openxmlformats.org/spreadsheetml/2006/main" count="298" uniqueCount="241">
  <si>
    <t>Formula</t>
  </si>
  <si>
    <t>Your Baseline</t>
  </si>
  <si>
    <t>Determining Salary Range Adjustments</t>
  </si>
  <si>
    <t>Lutherans have long expected that their pastoral leaders be well-educated. This credit seeks to account for and encourage life-long learning for leadership.</t>
  </si>
  <si>
    <t>Negotiating Actual Salary</t>
  </si>
  <si>
    <r>
      <t xml:space="preserve">Determining </t>
    </r>
    <r>
      <rPr>
        <b/>
        <u/>
        <sz val="14"/>
        <color theme="1"/>
        <rFont val="Arial"/>
        <family val="2"/>
      </rPr>
      <t>MINIMUM</t>
    </r>
    <r>
      <rPr>
        <b/>
        <sz val="14"/>
        <color theme="1"/>
        <rFont val="Arial"/>
        <family val="2"/>
      </rPr>
      <t xml:space="preserve"> Salary</t>
    </r>
  </si>
  <si>
    <t>Your Figure</t>
  </si>
  <si>
    <t>Your Points</t>
  </si>
  <si>
    <t>Box Label</t>
  </si>
  <si>
    <t>&lt;&lt;&lt; Box A</t>
  </si>
  <si>
    <t>&lt;&lt;&lt; Box C</t>
  </si>
  <si>
    <t>&lt;&lt;&lt; Box D</t>
  </si>
  <si>
    <t>&lt;&lt;&lt; Box E</t>
  </si>
  <si>
    <t>&lt;&lt;&lt; Box F</t>
  </si>
  <si>
    <t>&lt;&lt;&lt; Box G</t>
  </si>
  <si>
    <t>&lt;&lt;&lt; Box H</t>
  </si>
  <si>
    <t>&lt;&lt;&lt; Box I</t>
  </si>
  <si>
    <t>&lt;&lt;&lt; Box J</t>
  </si>
  <si>
    <t>&lt;&lt;&lt; Box K</t>
  </si>
  <si>
    <t>&lt;&lt;&lt; Box L</t>
  </si>
  <si>
    <t>&lt;&lt;&lt; Box M</t>
  </si>
  <si>
    <t>Baseline Salary</t>
  </si>
  <si>
    <t>Adjusted Baseline Salary</t>
  </si>
  <si>
    <t>Years of Experience</t>
  </si>
  <si>
    <t>Years of Related Non-Pastoral Experience</t>
  </si>
  <si>
    <t>Furthered Education</t>
  </si>
  <si>
    <t>Possible Salary Adjustment</t>
  </si>
  <si>
    <t>Salary Adjustment Range</t>
  </si>
  <si>
    <r>
      <t xml:space="preserve">The Northeastern Ohio Synod Council and Assembly annually set a "Baseline Salary" for rostered ministers guided by the admonition from Scripture:
</t>
    </r>
    <r>
      <rPr>
        <i/>
        <sz val="11"/>
        <color theme="1"/>
        <rFont val="Times New Roman"/>
        <family val="1"/>
      </rPr>
      <t>"Let the elders who rule well be considered worthy of compensation, especially those who labor in preaching and teaching; for the scripture says, 'You shall not muzzle an ox while it is treading out the grain,' and, 'The laborer deserves to be paid'."</t>
    </r>
    <r>
      <rPr>
        <sz val="11"/>
        <color theme="1"/>
        <rFont val="Times New Roman"/>
        <family val="1"/>
      </rPr>
      <t xml:space="preserve"> (1 Timothy 5:17ff.)
The phrase, "who rule well", points to the need for a </t>
    </r>
    <r>
      <rPr>
        <u/>
        <sz val="11"/>
        <color theme="1"/>
        <rFont val="Times New Roman"/>
        <family val="1"/>
      </rPr>
      <t>process of appraising performance</t>
    </r>
    <r>
      <rPr>
        <sz val="11"/>
        <color theme="1"/>
        <rFont val="Times New Roman"/>
        <family val="1"/>
      </rPr>
      <t xml:space="preserve"> in addition to this </t>
    </r>
    <r>
      <rPr>
        <u/>
        <sz val="11"/>
        <color theme="1"/>
        <rFont val="Times New Roman"/>
        <family val="1"/>
      </rPr>
      <t>process of determining appropriate salary ranges</t>
    </r>
    <r>
      <rPr>
        <sz val="11"/>
        <color theme="1"/>
        <rFont val="Times New Roman"/>
        <family val="1"/>
      </rPr>
      <t xml:space="preserve"> as steps toward negotiating actual salary amounts.</t>
    </r>
  </si>
  <si>
    <t>As per most professional salary systems, we seek to reflect the value of acquired skills, wisdom, and experiences which can only come from actual ministry experience.</t>
  </si>
  <si>
    <t>Research has established that vibrant long-term tenures are often associated with congregational growth. We seek to reflect our shared valuing of healthy, longer-tenured ministries with this adjustment.</t>
  </si>
  <si>
    <t>Longevity in Current Call</t>
  </si>
  <si>
    <r>
      <t xml:space="preserve">Increasingly, persons with prior experience in related fields are entering rostered ministry in our church. We seek to acknowledge the value of prior experience </t>
    </r>
    <r>
      <rPr>
        <b/>
        <i/>
        <u/>
        <sz val="12"/>
        <color theme="1"/>
        <rFont val="Times New Roman"/>
        <family val="1"/>
      </rPr>
      <t>in related fields</t>
    </r>
    <r>
      <rPr>
        <sz val="12"/>
        <color theme="1"/>
        <rFont val="Times New Roman"/>
        <family val="1"/>
      </rPr>
      <t xml:space="preserve"> (i.e. teaching, administration, financial, counseling, social work, etc.) with this adjustment.</t>
    </r>
  </si>
  <si>
    <t>Experience Adjustment</t>
  </si>
  <si>
    <t>Enter the number of years of service as a pastor or deacon (up to a maximum of 40) in Box C.
The number of years of experience is multiplied by $400 to determine the Experience Adjustment to Baseline Salary.</t>
  </si>
  <si>
    <t>In this step, the Local Housing Cost and Experience Adjustments are added to the Baseline Salary to determe the Adjusted Baseline Salary for a pastor or deacon serving in your congregation. Such factors as position, longevity, and additional degree work will be considered in Section 2 below.</t>
  </si>
  <si>
    <r>
      <rPr>
        <b/>
        <sz val="12"/>
        <color theme="1"/>
        <rFont val="Times New Roman"/>
        <family val="1"/>
      </rPr>
      <t xml:space="preserve">Box D is the "Adjusted Baseline Salary" for your congregation. </t>
    </r>
    <r>
      <rPr>
        <sz val="12"/>
        <color theme="1"/>
        <rFont val="Times New Roman"/>
        <family val="1"/>
      </rPr>
      <t>(Note: for some congregations, current salaries may be below this number. If such is the case, the Synod recommends developing a specific and mutually-agreeable written plan to bring salary up to this minimum baseline. If Council, Congregation, or Pastor/Deacon need assistance in this matter, both synodical staff and the synod’s “Compensation Consultants” are able to assist.)</t>
    </r>
  </si>
  <si>
    <t>The credits in Boxes E, F (at 50%), G and H are added together to create a “point total” for Box I.</t>
  </si>
  <si>
    <t>SS Offset</t>
  </si>
  <si>
    <t>As described in the Compensation Standards document, a pastor's compensation is to include a Social Security Offset.</t>
  </si>
  <si>
    <t>Salary</t>
  </si>
  <si>
    <t>NOTE: Enter appropriate values in the blue boxes.
All other calculations are automatic.</t>
  </si>
  <si>
    <t>Total Cash Compensation</t>
  </si>
  <si>
    <t>Pension, Health, and Other Benefits</t>
  </si>
  <si>
    <t>The Portico cost calculator can be found at:</t>
  </si>
  <si>
    <t>https://employerlink.porticobenefits.org/resources/calculators/benefit-costs-calculator#/</t>
  </si>
  <si>
    <t>You will need to know the rostered minister's birthdate.</t>
  </si>
  <si>
    <t>Synod:</t>
  </si>
  <si>
    <t>Northeastern Ohio Synod - 6E</t>
  </si>
  <si>
    <t>Defined Compensation:</t>
  </si>
  <si>
    <t>Health Insurance</t>
  </si>
  <si>
    <t>Retirement</t>
  </si>
  <si>
    <t>Disability</t>
  </si>
  <si>
    <t>Portico Benefits Total:</t>
  </si>
  <si>
    <t>Cost of additional benefits:</t>
  </si>
  <si>
    <t>Total Cost of Benefits</t>
  </si>
  <si>
    <t>Other Expenses</t>
  </si>
  <si>
    <t>Mileage Reimbursement</t>
  </si>
  <si>
    <t>Other Professional Expenses</t>
  </si>
  <si>
    <t>Continuing Education</t>
  </si>
  <si>
    <t>Cell Phone Reimbursement</t>
  </si>
  <si>
    <t>Total Cost of Other Expenses</t>
  </si>
  <si>
    <t>Total Compensation, Benefits,</t>
  </si>
  <si>
    <t>and Other Expenses</t>
  </si>
  <si>
    <t>Benefits &amp; Expenses Summary</t>
  </si>
  <si>
    <t>(at IRS approved rate per mile)</t>
  </si>
  <si>
    <t>(minimum of $700 recommended)</t>
  </si>
  <si>
    <t>Proposed Compensation, Benefits, and Expenses</t>
  </si>
  <si>
    <t xml:space="preserve"> Cash Compensation</t>
  </si>
  <si>
    <t>Total Portico Benefits</t>
  </si>
  <si>
    <t>Other Benefits</t>
  </si>
  <si>
    <t xml:space="preserve"> Benefits</t>
  </si>
  <si>
    <t>Professional Expenses</t>
  </si>
  <si>
    <t>Other</t>
  </si>
  <si>
    <t xml:space="preserve"> Professional Expenses</t>
  </si>
  <si>
    <t xml:space="preserve"> Total Compensation, Benefits, and Expenses</t>
  </si>
  <si>
    <t>Cash Compensation to Pastor/Deacon</t>
  </si>
  <si>
    <t>Basic Group Life</t>
  </si>
  <si>
    <t>(recommended 12% - minimum 10%)</t>
  </si>
  <si>
    <t>Retirement Percentage:</t>
  </si>
  <si>
    <r>
      <t>Additional Benefits (</t>
    </r>
    <r>
      <rPr>
        <i/>
        <sz val="12"/>
        <color theme="1"/>
        <rFont val="Calibri"/>
        <family val="2"/>
        <scheme val="minor"/>
      </rPr>
      <t>if applicable, please list and indicate cost</t>
    </r>
    <r>
      <rPr>
        <sz val="12"/>
        <color theme="1"/>
        <rFont val="Calibri"/>
        <family val="2"/>
        <scheme val="minor"/>
      </rPr>
      <t>)</t>
    </r>
  </si>
  <si>
    <t>Item 1</t>
  </si>
  <si>
    <t>Item 2</t>
  </si>
  <si>
    <t>Item 3</t>
  </si>
  <si>
    <t>Health Insurance, Retirement, and Other Benefits</t>
  </si>
  <si>
    <t>Compensation Modifier</t>
  </si>
  <si>
    <t>If this is not a full-time call, enter the percentage modifer in the pink box and the modified numbers will be transferred to the report on the next tab.</t>
  </si>
  <si>
    <t>Compensation Modifier:</t>
  </si>
  <si>
    <t>Shared Calls</t>
  </si>
  <si>
    <t>If the expenses for this call are shared by multiple congregations, enter the congregation names and appropriate percentages below.</t>
  </si>
  <si>
    <t>Percentage:</t>
  </si>
  <si>
    <t>Cong A</t>
  </si>
  <si>
    <t>Cong B</t>
  </si>
  <si>
    <t>Cong C</t>
  </si>
  <si>
    <t>Total</t>
  </si>
  <si>
    <t xml:space="preserve">Name of Cong A: </t>
  </si>
  <si>
    <t xml:space="preserve">Name of Cong B: </t>
  </si>
  <si>
    <t xml:space="preserve">Name of Cong C: </t>
  </si>
  <si>
    <t>Percentage</t>
  </si>
  <si>
    <t xml:space="preserve"> Total Compensation,</t>
  </si>
  <si>
    <t>Benefits, and Expenses</t>
  </si>
  <si>
    <t>Health Insurance, Retirement,</t>
  </si>
  <si>
    <t>and Other Benefits</t>
  </si>
  <si>
    <t>Social Security Offset (pastors)</t>
  </si>
  <si>
    <t>Cash Compensation</t>
  </si>
  <si>
    <t>to Pastor/Deacon</t>
  </si>
  <si>
    <t>With the exception of the red-bordered Compensation Modifer found below in the pink cell - and the orange congregation names and percentages in the Shared Calls section - you should only enter numbers in the blue shaded cells. Amounts for the Portico benefits are found by visiting the Portico calculator using the link below.</t>
  </si>
  <si>
    <t>Enter in Box F the years of prior experience in a related field for which credit is being given.
NOTE: the congregation and pastor/deacon are to discuss the relevance of prior experience and agree to a full or fractional value for that experience.</t>
  </si>
  <si>
    <t>Pastoral leaders of large churches often bear increased responsibilities and expectations. Similarly, leaders in a multi-congregation call also oversee or supervise additional staff. We seek to acknowledge such with this adjustment.</t>
  </si>
  <si>
    <r>
      <t xml:space="preserve">Credit is given for primary leadership in congregations where the staff exceeds the minimum needs of a congregation (worship musician and office support). Credit at least one point for each staff member beyond the pastor, worship musician, and secretarial support. In multi-congregation calls, credit one point for </t>
    </r>
    <r>
      <rPr>
        <i/>
        <u/>
        <sz val="12"/>
        <color theme="1"/>
        <rFont val="Times New Roman"/>
        <family val="1"/>
      </rPr>
      <t>every</t>
    </r>
    <r>
      <rPr>
        <sz val="12"/>
        <color theme="1"/>
        <rFont val="Times New Roman"/>
        <family val="1"/>
      </rPr>
      <t xml:space="preserve"> staff member in each additional congregation.</t>
    </r>
  </si>
  <si>
    <t>Staff and/or Multiple Congregation Leadership</t>
  </si>
  <si>
    <t>Boxes D-H seek to quantify the value of experience, responsibilities, and education a rostered minister may possess. These factors will become a basis for possible adjustment to salary.</t>
  </si>
  <si>
    <t>Cash Compensation (transferred from a previous tab)</t>
  </si>
  <si>
    <t>Negotiated/Adjusted Salary</t>
  </si>
  <si>
    <t>Printable Summary</t>
  </si>
  <si>
    <t>Compensation, Benefits, &amp; Expenses Calculation Worksheet</t>
  </si>
  <si>
    <r>
      <t xml:space="preserve">Benefits &amp; Expenses
</t>
    </r>
    <r>
      <rPr>
        <sz val="12"/>
        <color theme="1"/>
        <rFont val="Calibri"/>
        <family val="2"/>
        <scheme val="minor"/>
      </rPr>
      <t>(with calculations for part time and shared calls)</t>
    </r>
  </si>
  <si>
    <t>This tab may be used to print out a summary of compensation, benefits, and expenses (such as for use at a congregation or council meeting).</t>
  </si>
  <si>
    <t>Similar to the previous tab, this tab provides a printable summary in situations where the costs of compensation, benefits, and expenses are apportioned to multiple congregations.</t>
  </si>
  <si>
    <t>Printable Summary - 
Shared Call</t>
  </si>
  <si>
    <t>Credit is given (5 points) to those who have taken the time and made the commitment to earn a degree beyond the minimum Masters level required of a pastor or deacon. (such as M.Th., D.Min., P.H.D., S.T.M., etc.) If such is the case, enter 5 points for furthered education in Box H.</t>
  </si>
  <si>
    <t>Use this tab to summarize the cost of Benefits and Expenses. A link is provided to the Portico benefits calculator. The salary amount is transferred from the calculations tab. This tab can also be used to calculate part time calls and apportioning expenses for shared calls.</t>
  </si>
  <si>
    <t>Notes / Comments</t>
  </si>
  <si>
    <t>How we got to the baseline salary:</t>
  </si>
  <si>
    <t>2022 Guidelines</t>
  </si>
  <si>
    <t>Housing</t>
  </si>
  <si>
    <t>A fair approach to determining the housing and utilities allowance is:
a. One percent per month of the reasonable market value of a house within the general community in which the congregation resides, plus
b. The cost of utilities for such a home, plus
c. The difference in cost for the rental value of such a home furnished as compared to rental value of such a home unfurnished.
A realtor can help determine this figure. This allowance is to cover the mortgage payments, taxes, insurance, utilities, furnishings, and maintenance of the house.</t>
  </si>
  <si>
    <t>2023 Standards</t>
  </si>
  <si>
    <t>Pastors</t>
  </si>
  <si>
    <t>Deacons</t>
  </si>
  <si>
    <t>Housing component based on $100,000 home</t>
  </si>
  <si>
    <t>1% per month</t>
  </si>
  <si>
    <t>Avg Utilities</t>
  </si>
  <si>
    <t>Taxes (1.25%)</t>
  </si>
  <si>
    <t>Insurance</t>
  </si>
  <si>
    <t>COLA</t>
  </si>
  <si>
    <t>Mort Rate</t>
  </si>
  <si>
    <t>Price</t>
  </si>
  <si>
    <t>10% Down</t>
  </si>
  <si>
    <t>20% Down</t>
  </si>
  <si>
    <t>per $100K</t>
  </si>
  <si>
    <t>12 mos</t>
  </si>
  <si>
    <t>Pastor</t>
  </si>
  <si>
    <t>Deacon (90%)</t>
  </si>
  <si>
    <t>Alloc to ~fixed costs</t>
  </si>
  <si>
    <t>Subject to COLA</t>
  </si>
  <si>
    <t>Sum for Pastor</t>
  </si>
  <si>
    <t>Sum for Deacon</t>
  </si>
  <si>
    <t>Comp Stds Pastor</t>
  </si>
  <si>
    <t>Comp Stds Deacon</t>
  </si>
  <si>
    <t>COLA Based Calculations</t>
  </si>
  <si>
    <t>The 2023 COLA is:</t>
  </si>
  <si>
    <t>Enter the Rostered Minister's cash compensation for 2023.</t>
  </si>
  <si>
    <t>Cash compensation</t>
  </si>
  <si>
    <t>COLA change in compensation:</t>
  </si>
  <si>
    <t>NOTE: If a congregation has been making COLA adjustments each year and considering merit increases, the COLA based calculation above would be expected to exceed the high end benchmark below.</t>
  </si>
  <si>
    <t>Credit one point for each year of service in one’s current call in Box E. NOTE: in calculating total points in Box I, the value in Box E will be capped at a value of 10.</t>
  </si>
  <si>
    <r>
      <t>The rows above are used to compile a point total which will assist you in quantifying a range above the adjusted baseline for appropriate salary.</t>
    </r>
    <r>
      <rPr>
        <sz val="6"/>
        <color theme="1"/>
        <rFont val="Times New Roman"/>
        <family val="1"/>
      </rPr>
      <t xml:space="preserve">
</t>
    </r>
    <r>
      <rPr>
        <b/>
        <sz val="12"/>
        <color theme="1"/>
        <rFont val="Times New Roman"/>
        <family val="1"/>
      </rPr>
      <t>For the year 2024, the range modifier is set at $400 per point.</t>
    </r>
  </si>
  <si>
    <t>The number recorded in Box I, multiplied by the range modifier described to the left, generates the spread of your appropriate benchmark salary range.</t>
  </si>
  <si>
    <t>COLA Based Calculation</t>
  </si>
  <si>
    <t>This is the proposed COLA based compensation from the above section.</t>
  </si>
  <si>
    <t>Value transferred from cell D12.</t>
  </si>
  <si>
    <t>Adjusted Baseline + Adjustment Range</t>
  </si>
  <si>
    <t>Negotiated Salary for 2024</t>
  </si>
  <si>
    <r>
      <t xml:space="preserve">Although the Synod may produce helpful guidelines and minimum baselines for appropriate salary, congregations need to annually review and revise salary for their rostered ministers. The calculated COLA based compensation and the baseline benchmarks (if that section was completed) provide a starting point for this conversation. During the course of the conversation between the pastor/deacon and those responsible for the annual review &amp; salary recommendations, consider using the following questions as guides for negotiating the salar for the coming year:
</t>
    </r>
    <r>
      <rPr>
        <i/>
        <sz val="12"/>
        <color theme="1"/>
        <rFont val="Times New Roman"/>
        <family val="1"/>
      </rPr>
      <t xml:space="preserve">   • Does our pastor/deacon bring any additional or special skills to the position that ought to be rewarded?
   • Has our pastor/deacon met their mutually-predetermined ministry goals during the past twelve months?
   • Do we expect our pastor/deacon to take on any significant additional responsibilities as a leader of our congregation?
   • Is our pastor/deacon competent in their fulfillment of the ministry position to which they have been called?
   • Are there any unique financial stresses which the congregation ought to seek to accommodate so as to allow
            our pastor/deacon to better serve our community?
   • Are there any unique financial stresses facing the congregation which need to be accommodated?
   • Are we in an area where housing costs are unusually high and special consideration may need to be made?
</t>
    </r>
    <r>
      <rPr>
        <b/>
        <sz val="12"/>
        <color theme="1"/>
        <rFont val="Times New Roman"/>
        <family val="1"/>
      </rPr>
      <t xml:space="preserve">The figure entered in Box M represents our mutually-negotiated full-time salary for the year 2024. </t>
    </r>
    <r>
      <rPr>
        <sz val="12"/>
        <color theme="1"/>
        <rFont val="Times New Roman"/>
        <family val="1"/>
      </rPr>
      <t>(Adjustments if the terms of call are less than full time will be made on the Benefits &amp; Expenses tab.)</t>
    </r>
  </si>
  <si>
    <t>If the benchmark calculations were completed below, the calculated results are transferred here.
At a minimum, values must be added for years of experience (Box C) and years in current call (Box E).</t>
  </si>
  <si>
    <t>Value transferred from Box D</t>
  </si>
  <si>
    <t>Sum of Box D and Box K</t>
  </si>
  <si>
    <t>The baseline salary for new calls is adjusted each year based on the previous year's Federal Cost of Living Adjustment. This section of the worksheet uses this standard to calculate an appropriate compensation increase for consideration.</t>
  </si>
  <si>
    <t>Source</t>
  </si>
  <si>
    <t>Refer to the Compensation Standards document for an explanation.</t>
  </si>
  <si>
    <t>CONTINUING CALL Compensation</t>
  </si>
  <si>
    <t>This tab is to be used for continuing calls (there is a separate worksheet for new calls) to calculate a COLA based compensation adjustment and optional benchmarks to ensure that a pastor or deacon is being equitably compensated.</t>
  </si>
  <si>
    <t>for Continuing Calls (beyond the first year)</t>
  </si>
  <si>
    <t>This worksheet has been created to simplify the calculations for compensation, benefits, and expenses for pastors and deacons. Please refer to the latest version of the Northeastern Ohio Synod "Standards and Resources for Compensation for Rostered Ministers" document for guidance in using this worksheet.
The worksheet includes multiple tabs as follows:</t>
  </si>
  <si>
    <t>The appropriate Social Security Offset (7.65%) to accompany the pastor's Negotiated Salary is:</t>
  </si>
  <si>
    <t>Merit increase:</t>
  </si>
  <si>
    <t>Incentive increase:</t>
  </si>
  <si>
    <t>TOTAL</t>
  </si>
  <si>
    <r>
      <rPr>
        <b/>
        <sz val="12"/>
        <color theme="1"/>
        <rFont val="Times New Roman"/>
        <family val="1"/>
      </rPr>
      <t>INCLUDE</t>
    </r>
    <r>
      <rPr>
        <sz val="12"/>
        <color theme="1"/>
        <rFont val="Times New Roman"/>
        <family val="1"/>
      </rPr>
      <t xml:space="preserve"> only the salary component of cash compensation.
</t>
    </r>
    <r>
      <rPr>
        <b/>
        <sz val="12"/>
        <color theme="1"/>
        <rFont val="Times New Roman"/>
        <family val="1"/>
      </rPr>
      <t>DO NOT INCLUDE</t>
    </r>
    <r>
      <rPr>
        <sz val="12"/>
        <color theme="1"/>
        <rFont val="Times New Roman"/>
        <family val="1"/>
      </rPr>
      <t xml:space="preserve"> the Parsonage Allowance, Home Equity Allowance, or Social Security Offset</t>
    </r>
  </si>
  <si>
    <r>
      <t>Baseline Salary includes what has historically been calculated separately for salary and housing - and assumes $100,000 as the median price of a home in the service area of the congregation. (It is important to note that the amount of salary actually designated as "Housing Allowance" for pastors must be recorded as a vote of the congregation’s Council/Board prior to the beginning of the year.)</t>
    </r>
    <r>
      <rPr>
        <sz val="6"/>
        <color theme="1"/>
        <rFont val="Times New Roman"/>
        <family val="1"/>
      </rPr>
      <t xml:space="preserve">
</t>
    </r>
    <r>
      <rPr>
        <b/>
        <sz val="13"/>
        <color theme="1"/>
        <rFont val="Times New Roman"/>
        <family val="1"/>
      </rPr>
      <t>For the year 2024 the baseline for pastors in a parsonage is $44,500.</t>
    </r>
    <r>
      <rPr>
        <b/>
        <sz val="6"/>
        <color theme="1"/>
        <rFont val="Times New Roman"/>
        <family val="1"/>
      </rPr>
      <t xml:space="preserve">
</t>
    </r>
    <r>
      <rPr>
        <sz val="6"/>
        <color theme="1"/>
        <rFont val="Times New Roman"/>
        <family val="1"/>
      </rPr>
      <t xml:space="preserve"> 
</t>
    </r>
    <r>
      <rPr>
        <sz val="12"/>
        <color theme="1"/>
        <rFont val="Times New Roman"/>
        <family val="1"/>
      </rPr>
      <t>(If the terms of call are less than full time, or if use of a parsonage is included as a portion of compensation, this figure should be adjusted accordingly in consultation with synod staff.)</t>
    </r>
  </si>
  <si>
    <t>2024 Compensation Calculations - for Pastors in Parsonages</t>
  </si>
  <si>
    <t>Refer to the Parsonage Addendum in the Appendix section of the Compensation Standards document for a discussion of appropriate items to include in a Furnishings/Parsonage Allowance depending on what costs are to be borne by the pastor and what is to be paid directly by the congregation.</t>
  </si>
  <si>
    <t>Explanation</t>
  </si>
  <si>
    <t>Possible components</t>
  </si>
  <si>
    <t>Basic upkeep</t>
  </si>
  <si>
    <t>Basic out of pocket expenses such as furnace filters, light bulbs, cleaning supplies, etc. so that the Property Committee doesn't have to take care of these things. A minimum of $1,000 is recommended.</t>
  </si>
  <si>
    <t>Utilities</t>
  </si>
  <si>
    <t>Lawncare/Landscaping</t>
  </si>
  <si>
    <t>If the pastor is to take care of lawncare and landscaping, add a sufficient amount to cover this cost.</t>
  </si>
  <si>
    <t>Routine Maintenance &amp; Repairs</t>
  </si>
  <si>
    <t>If the pastor is to pay for routine maintenance (i.e. heating &amp; cooling system maintenance) and/or repairs, add a sufficient amount to cover this cost.</t>
  </si>
  <si>
    <t>If the pastor is to pay utilities, add a sufficent amount to cover the utilities (including trash removal).</t>
  </si>
  <si>
    <t>Total Furnishings/Parsonage Allowance</t>
  </si>
  <si>
    <t>Sum of the above components</t>
  </si>
  <si>
    <t>The above amount is added to the pastor's income for Social Security purposes, so the appropriate offset is:</t>
  </si>
  <si>
    <t>Furnishings/Parsonage Allowance</t>
  </si>
  <si>
    <t>Sum of Social Security Offsets</t>
  </si>
  <si>
    <t>Value of employer-provided housing (Portico uses 30% of the total of the above.</t>
  </si>
  <si>
    <t>Total Defined Compensation (will be transferred to the Benefits &amp; Expenses tab)</t>
  </si>
  <si>
    <t>Defined Compensation for Portico Benefits calculations:</t>
  </si>
  <si>
    <t>Furnishings Allowance</t>
  </si>
  <si>
    <t>Social Security Offset</t>
  </si>
  <si>
    <t>Value of Parsonage</t>
  </si>
  <si>
    <t>Percentage of Defined Compensation</t>
  </si>
  <si>
    <t>Fixed amount per month</t>
  </si>
  <si>
    <t>Enter the percentage (3% to 5% is recommended):</t>
  </si>
  <si>
    <t>Enter the amount per month:</t>
  </si>
  <si>
    <t>Annual Housing Equity Allowance:</t>
  </si>
  <si>
    <t>Home Equity Allowance</t>
  </si>
  <si>
    <t>Section 1a - Salary</t>
  </si>
  <si>
    <t>Section 1b - Furnishings/Parsonage Allowance</t>
  </si>
  <si>
    <t>Section 1c - Housing Equity Allowance</t>
  </si>
  <si>
    <t>Select the percentage or fixed amount option:</t>
  </si>
  <si>
    <t>X</t>
  </si>
  <si>
    <t>Section 2 - Benchmark / New Call Calculations</t>
  </si>
  <si>
    <t>The calculations in this section are used at the time of a new call. They may also be completed to serve as benchmarks for comparing the above COLA based calculation.</t>
  </si>
  <si>
    <t>Section 2a</t>
  </si>
  <si>
    <t>Section 2b</t>
  </si>
  <si>
    <t>&lt;&lt;&lt; Box B</t>
  </si>
  <si>
    <t>&lt;&lt;&lt; Box N</t>
  </si>
  <si>
    <t>&lt;&lt;&lt; Box O</t>
  </si>
  <si>
    <t>&lt;&lt;&lt; Box P</t>
  </si>
  <si>
    <t>&lt;&lt;&lt; Box Q</t>
  </si>
  <si>
    <t>&lt;&lt;&lt; Box R</t>
  </si>
  <si>
    <t>&lt;&lt;&lt; Box S</t>
  </si>
  <si>
    <t>&lt;&lt;&lt; Box T</t>
  </si>
  <si>
    <t>&lt;&lt;&lt; Box U</t>
  </si>
  <si>
    <t>&lt;&lt;&lt; Box V</t>
  </si>
  <si>
    <t>&lt;&lt;&lt; Box W</t>
  </si>
  <si>
    <t>&lt;&lt;&lt; Box X</t>
  </si>
  <si>
    <t>&lt;&lt;&lt; Box Y</t>
  </si>
  <si>
    <t>&lt;&lt;&lt; Box Z</t>
  </si>
  <si>
    <t>&lt;&lt;&lt; Box AA</t>
  </si>
  <si>
    <t>&lt;&lt;&lt; Box AB</t>
  </si>
  <si>
    <t>&lt;&lt;&lt; Box AC</t>
  </si>
  <si>
    <t>Version date: 6/2/23</t>
  </si>
  <si>
    <t>Revised all tabs as needed to create a worksheet for a congregation with a parsonage.</t>
  </si>
  <si>
    <t>NOTE: If errors are found in this worksheet - or you have difficulty in using it - please contact Pastor Mitch Phillips at the Northeastern Ohio Synod office (330-929-9022 ext 28) or via e-mail (mphillips@neos-elca.org). This worksheet will be corrected and revised as needed throughout the year.</t>
  </si>
  <si>
    <t>Merit increases may be given for ministry accomplishments and/or through an annual review of the rostered staff member’s ministry.</t>
  </si>
  <si>
    <t>Incentive increases may be given to reflect new expectations of additional effort or responsibility.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</si>
</sst>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32" x14ac:knownFonts="1">
    <font>
      <sz val="11"/>
      <color theme="1"/>
      <name val="Calibri"/>
      <family val="2"/>
      <scheme val="minor"/>
    </font>
    <font>
      <b/>
      <sz val="11"/>
      <color theme="1"/>
      <name val="Calibri"/>
      <family val="2"/>
      <scheme val="minor"/>
    </font>
    <font>
      <b/>
      <sz val="14"/>
      <color theme="1"/>
      <name val="Arial"/>
      <family val="2"/>
    </font>
    <font>
      <b/>
      <u/>
      <sz val="14"/>
      <color theme="1"/>
      <name val="Arial"/>
      <family val="2"/>
    </font>
    <font>
      <sz val="11"/>
      <color theme="1"/>
      <name val="Times New Roman"/>
      <family val="1"/>
    </font>
    <font>
      <i/>
      <sz val="11"/>
      <color theme="1"/>
      <name val="Times New Roman"/>
      <family val="1"/>
    </font>
    <font>
      <sz val="12"/>
      <color theme="1"/>
      <name val="Times New Roman"/>
      <family val="1"/>
    </font>
    <font>
      <b/>
      <sz val="12"/>
      <color theme="1"/>
      <name val="Times New Roman"/>
      <family val="1"/>
    </font>
    <font>
      <i/>
      <sz val="12"/>
      <color theme="1"/>
      <name val="Times New Roman"/>
      <family val="1"/>
    </font>
    <font>
      <u/>
      <sz val="11"/>
      <color theme="1"/>
      <name val="Times New Roman"/>
      <family val="1"/>
    </font>
    <font>
      <b/>
      <sz val="12"/>
      <color theme="1"/>
      <name val="Arial"/>
      <family val="2"/>
    </font>
    <font>
      <b/>
      <sz val="13"/>
      <color theme="1"/>
      <name val="Times New Roman"/>
      <family val="1"/>
    </font>
    <font>
      <sz val="6"/>
      <color theme="1"/>
      <name val="Times New Roman"/>
      <family val="1"/>
    </font>
    <font>
      <b/>
      <sz val="6"/>
      <color theme="1"/>
      <name val="Times New Roman"/>
      <family val="1"/>
    </font>
    <font>
      <sz val="14"/>
      <color theme="1"/>
      <name val="Arial"/>
      <family val="2"/>
    </font>
    <font>
      <b/>
      <i/>
      <u/>
      <sz val="12"/>
      <color theme="1"/>
      <name val="Times New Roman"/>
      <family val="1"/>
    </font>
    <font>
      <b/>
      <sz val="24"/>
      <color theme="1"/>
      <name val="Times New Roman"/>
      <family val="1"/>
    </font>
    <font>
      <b/>
      <i/>
      <sz val="11"/>
      <color theme="1"/>
      <name val="Calibri"/>
      <family val="2"/>
      <scheme val="minor"/>
    </font>
    <font>
      <u/>
      <sz val="11"/>
      <color theme="10"/>
      <name val="Calibri"/>
      <family val="2"/>
      <scheme val="minor"/>
    </font>
    <font>
      <sz val="12"/>
      <color theme="1"/>
      <name val="Calibri"/>
      <family val="2"/>
      <scheme val="minor"/>
    </font>
    <font>
      <sz val="12"/>
      <color theme="1"/>
      <name val="Arial"/>
      <family val="2"/>
    </font>
    <font>
      <b/>
      <sz val="14"/>
      <color theme="1"/>
      <name val="Calibri"/>
      <family val="2"/>
      <scheme val="minor"/>
    </font>
    <font>
      <b/>
      <sz val="12"/>
      <color theme="1"/>
      <name val="Calibri"/>
      <family val="2"/>
      <scheme val="minor"/>
    </font>
    <font>
      <i/>
      <sz val="12"/>
      <color theme="1"/>
      <name val="Calibri"/>
      <family val="2"/>
      <scheme val="minor"/>
    </font>
    <font>
      <b/>
      <sz val="18"/>
      <color theme="1"/>
      <name val="Calibri"/>
      <family val="2"/>
      <scheme val="minor"/>
    </font>
    <font>
      <sz val="14"/>
      <color theme="1"/>
      <name val="Calibri"/>
      <family val="2"/>
      <scheme val="minor"/>
    </font>
    <font>
      <b/>
      <sz val="16"/>
      <color theme="1"/>
      <name val="Calibri"/>
      <family val="2"/>
      <scheme val="minor"/>
    </font>
    <font>
      <i/>
      <u/>
      <sz val="12"/>
      <color theme="1"/>
      <name val="Times New Roman"/>
      <family val="1"/>
    </font>
    <font>
      <b/>
      <sz val="18"/>
      <color theme="1"/>
      <name val="Arial"/>
      <family val="2"/>
    </font>
    <font>
      <b/>
      <sz val="16"/>
      <color theme="1"/>
      <name val="Arial"/>
      <family val="2"/>
    </font>
    <font>
      <sz val="12"/>
      <color rgb="FF000000"/>
      <name val="Calibri"/>
      <family val="2"/>
      <scheme val="minor"/>
    </font>
    <font>
      <sz val="12"/>
      <color rgb="FFC00000"/>
      <name val="Calibri"/>
      <family val="2"/>
      <scheme val="minor"/>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rgb="FF66FFFF"/>
        <bgColor indexed="64"/>
      </patternFill>
    </fill>
    <fill>
      <patternFill patternType="solid">
        <fgColor rgb="FFFFCCCC"/>
        <bgColor indexed="64"/>
      </patternFill>
    </fill>
    <fill>
      <patternFill patternType="solid">
        <fgColor rgb="FFCCFFCC"/>
        <bgColor indexed="64"/>
      </patternFill>
    </fill>
    <fill>
      <patternFill patternType="solid">
        <fgColor rgb="FFCCCCFF"/>
        <bgColor indexed="64"/>
      </patternFill>
    </fill>
    <fill>
      <patternFill patternType="solid">
        <fgColor rgb="FFFFCC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C00000"/>
      </left>
      <right style="thick">
        <color rgb="FFC00000"/>
      </right>
      <top style="thick">
        <color rgb="FFC00000"/>
      </top>
      <bottom style="thick">
        <color rgb="FFC00000"/>
      </bottom>
      <diagonal/>
    </border>
    <border>
      <left style="thick">
        <color rgb="FFC00000"/>
      </left>
      <right style="thin">
        <color indexed="64"/>
      </right>
      <top style="thick">
        <color rgb="FFC00000"/>
      </top>
      <bottom style="thick">
        <color rgb="FFC00000"/>
      </bottom>
      <diagonal/>
    </border>
    <border>
      <left style="thin">
        <color indexed="64"/>
      </left>
      <right style="thin">
        <color indexed="64"/>
      </right>
      <top style="thick">
        <color rgb="FFC00000"/>
      </top>
      <bottom style="thick">
        <color rgb="FFC00000"/>
      </bottom>
      <diagonal/>
    </border>
    <border>
      <left style="thin">
        <color indexed="64"/>
      </left>
      <right style="thick">
        <color rgb="FFC00000"/>
      </right>
      <top style="thick">
        <color rgb="FFC00000"/>
      </top>
      <bottom style="thick">
        <color rgb="FFC0000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8" fillId="0" borderId="0" applyNumberFormat="0" applyFill="0" applyBorder="0" applyAlignment="0" applyProtection="0"/>
  </cellStyleXfs>
  <cellXfs count="172">
    <xf numFmtId="0" fontId="0" fillId="0" borderId="0" xfId="0"/>
    <xf numFmtId="49" fontId="0" fillId="0" borderId="0" xfId="0" applyNumberFormat="1" applyAlignment="1">
      <alignment vertical="top" wrapText="1"/>
    </xf>
    <xf numFmtId="0" fontId="1" fillId="0" borderId="0" xfId="0" applyFont="1"/>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49" fontId="2" fillId="2" borderId="1" xfId="0" applyNumberFormat="1" applyFont="1" applyFill="1" applyBorder="1" applyAlignment="1">
      <alignment vertical="center" wrapText="1"/>
    </xf>
    <xf numFmtId="49" fontId="2" fillId="2" borderId="1" xfId="0" applyNumberFormat="1" applyFont="1" applyFill="1" applyBorder="1" applyAlignment="1">
      <alignment horizontal="center" vertical="center" wrapText="1"/>
    </xf>
    <xf numFmtId="49" fontId="6" fillId="0" borderId="1" xfId="0" applyNumberFormat="1" applyFont="1" applyBorder="1" applyAlignment="1">
      <alignment vertical="top" wrapText="1"/>
    </xf>
    <xf numFmtId="49" fontId="2" fillId="0" borderId="1" xfId="0" applyNumberFormat="1" applyFont="1" applyBorder="1" applyAlignment="1">
      <alignment vertical="center" wrapText="1"/>
    </xf>
    <xf numFmtId="49" fontId="2" fillId="2" borderId="1" xfId="0" applyNumberFormat="1" applyFont="1" applyFill="1" applyBorder="1" applyAlignment="1">
      <alignment wrapText="1"/>
    </xf>
    <xf numFmtId="49" fontId="2" fillId="2" borderId="1" xfId="0" applyNumberFormat="1" applyFont="1" applyFill="1" applyBorder="1" applyAlignment="1">
      <alignment horizontal="center" wrapText="1"/>
    </xf>
    <xf numFmtId="3" fontId="14" fillId="0" borderId="1" xfId="0" applyNumberFormat="1" applyFont="1" applyBorder="1" applyAlignment="1">
      <alignment horizontal="center" vertical="center"/>
    </xf>
    <xf numFmtId="49" fontId="6" fillId="0" borderId="1" xfId="0" quotePrefix="1" applyNumberFormat="1" applyFont="1" applyBorder="1" applyAlignment="1">
      <alignment horizontal="right" vertical="center" wrapText="1" indent="2"/>
    </xf>
    <xf numFmtId="49" fontId="14" fillId="0" borderId="1" xfId="0" applyNumberFormat="1" applyFont="1" applyBorder="1" applyAlignment="1">
      <alignment horizontal="center" vertical="center" wrapText="1"/>
    </xf>
    <xf numFmtId="49" fontId="10" fillId="0" borderId="0" xfId="0" applyNumberFormat="1" applyFont="1" applyAlignment="1">
      <alignment vertical="top" wrapText="1"/>
    </xf>
    <xf numFmtId="49" fontId="6" fillId="0" borderId="0" xfId="0" applyNumberFormat="1" applyFont="1" applyAlignment="1">
      <alignment vertical="top" wrapText="1"/>
    </xf>
    <xf numFmtId="49" fontId="2" fillId="0" borderId="0" xfId="0" applyNumberFormat="1" applyFont="1" applyAlignment="1">
      <alignment vertical="center" wrapText="1"/>
    </xf>
    <xf numFmtId="3" fontId="14" fillId="0" borderId="0" xfId="0" applyNumberFormat="1" applyFont="1" applyAlignment="1">
      <alignment horizontal="center" vertical="center"/>
    </xf>
    <xf numFmtId="49" fontId="16" fillId="0" borderId="0" xfId="0" applyNumberFormat="1" applyFont="1" applyAlignment="1">
      <alignment vertical="center"/>
    </xf>
    <xf numFmtId="3" fontId="14" fillId="0" borderId="1" xfId="0" applyNumberFormat="1" applyFont="1" applyBorder="1" applyAlignment="1">
      <alignment horizontal="center" vertical="center" wrapText="1"/>
    </xf>
    <xf numFmtId="0" fontId="2" fillId="0" borderId="0" xfId="0" applyFont="1"/>
    <xf numFmtId="0" fontId="19" fillId="0" borderId="0" xfId="0" applyFont="1"/>
    <xf numFmtId="3" fontId="19" fillId="0" borderId="0" xfId="0" applyNumberFormat="1" applyFont="1"/>
    <xf numFmtId="0" fontId="21" fillId="0" borderId="0" xfId="0" applyFont="1"/>
    <xf numFmtId="0" fontId="19" fillId="0" borderId="0" xfId="0" applyFont="1" applyAlignment="1">
      <alignment horizontal="right"/>
    </xf>
    <xf numFmtId="3" fontId="19" fillId="0" borderId="6" xfId="0" applyNumberFormat="1" applyFont="1" applyBorder="1"/>
    <xf numFmtId="0" fontId="22" fillId="0" borderId="0" xfId="0" applyFont="1" applyAlignment="1">
      <alignment horizontal="right"/>
    </xf>
    <xf numFmtId="3" fontId="22" fillId="0" borderId="0" xfId="0" applyNumberFormat="1" applyFont="1"/>
    <xf numFmtId="0" fontId="18" fillId="0" borderId="0" xfId="1"/>
    <xf numFmtId="0" fontId="23" fillId="0" borderId="0" xfId="0" applyFont="1"/>
    <xf numFmtId="3" fontId="19" fillId="0" borderId="7" xfId="0" applyNumberFormat="1" applyFont="1" applyBorder="1"/>
    <xf numFmtId="0" fontId="22" fillId="0" borderId="0" xfId="0" applyFont="1" applyAlignment="1">
      <alignment horizontal="left"/>
    </xf>
    <xf numFmtId="3" fontId="23" fillId="0" borderId="0" xfId="0" applyNumberFormat="1" applyFont="1"/>
    <xf numFmtId="0" fontId="24" fillId="0" borderId="0" xfId="0" applyFont="1"/>
    <xf numFmtId="3" fontId="25" fillId="0" borderId="0" xfId="0" applyNumberFormat="1" applyFont="1"/>
    <xf numFmtId="0" fontId="25" fillId="0" borderId="0" xfId="0" applyFont="1"/>
    <xf numFmtId="0" fontId="26" fillId="0" borderId="0" xfId="0" applyFont="1"/>
    <xf numFmtId="3" fontId="25" fillId="0" borderId="4" xfId="0" applyNumberFormat="1" applyFont="1" applyBorder="1"/>
    <xf numFmtId="3" fontId="21" fillId="0" borderId="0" xfId="0" applyNumberFormat="1" applyFont="1"/>
    <xf numFmtId="3" fontId="26" fillId="0" borderId="0" xfId="0" applyNumberFormat="1" applyFont="1"/>
    <xf numFmtId="0" fontId="20" fillId="0" borderId="0" xfId="0" applyFont="1" applyAlignment="1">
      <alignment vertical="top" wrapText="1"/>
    </xf>
    <xf numFmtId="3" fontId="14" fillId="3" borderId="1" xfId="0" applyNumberFormat="1" applyFont="1" applyFill="1" applyBorder="1" applyAlignment="1" applyProtection="1">
      <alignment horizontal="center" vertical="center"/>
      <protection locked="0"/>
    </xf>
    <xf numFmtId="3" fontId="19" fillId="5" borderId="0" xfId="0" applyNumberFormat="1" applyFont="1" applyFill="1" applyProtection="1">
      <protection locked="0"/>
    </xf>
    <xf numFmtId="3" fontId="19" fillId="5" borderId="4" xfId="0" applyNumberFormat="1" applyFont="1" applyFill="1" applyBorder="1" applyProtection="1">
      <protection locked="0"/>
    </xf>
    <xf numFmtId="0" fontId="19" fillId="0" borderId="0" xfId="0" applyFont="1" applyAlignment="1" applyProtection="1">
      <alignment horizontal="right"/>
      <protection locked="0"/>
    </xf>
    <xf numFmtId="3" fontId="19" fillId="0" borderId="0" xfId="0" applyNumberFormat="1" applyFont="1" applyAlignment="1">
      <alignment horizontal="right"/>
    </xf>
    <xf numFmtId="3" fontId="19" fillId="6" borderId="0" xfId="0" applyNumberFormat="1" applyFont="1" applyFill="1"/>
    <xf numFmtId="0" fontId="19" fillId="6" borderId="0" xfId="0" applyFont="1" applyFill="1"/>
    <xf numFmtId="3" fontId="19" fillId="6" borderId="6" xfId="0" applyNumberFormat="1" applyFont="1" applyFill="1" applyBorder="1"/>
    <xf numFmtId="3" fontId="22" fillId="6" borderId="0" xfId="0" applyNumberFormat="1" applyFont="1" applyFill="1"/>
    <xf numFmtId="3" fontId="19" fillId="4" borderId="6" xfId="0" applyNumberFormat="1" applyFont="1" applyFill="1" applyBorder="1"/>
    <xf numFmtId="3" fontId="19" fillId="4" borderId="4" xfId="0" applyNumberFormat="1" applyFont="1" applyFill="1" applyBorder="1"/>
    <xf numFmtId="0" fontId="25" fillId="0" borderId="0" xfId="0" applyFont="1" applyAlignment="1">
      <alignment horizontal="right"/>
    </xf>
    <xf numFmtId="0" fontId="21" fillId="0" borderId="0" xfId="0" applyFont="1" applyAlignment="1">
      <alignment horizontal="right"/>
    </xf>
    <xf numFmtId="0" fontId="26" fillId="0" borderId="0" xfId="0" applyFont="1" applyAlignment="1">
      <alignment horizontal="right"/>
    </xf>
    <xf numFmtId="0" fontId="25" fillId="0" borderId="8" xfId="0" applyFont="1" applyBorder="1"/>
    <xf numFmtId="9" fontId="25" fillId="0" borderId="8" xfId="0" applyNumberFormat="1" applyFont="1" applyBorder="1"/>
    <xf numFmtId="3" fontId="25" fillId="0" borderId="8" xfId="0" applyNumberFormat="1" applyFont="1" applyBorder="1"/>
    <xf numFmtId="3" fontId="21" fillId="0" borderId="8" xfId="0" applyNumberFormat="1" applyFont="1" applyBorder="1"/>
    <xf numFmtId="3" fontId="21" fillId="0" borderId="3" xfId="0" applyNumberFormat="1" applyFont="1" applyBorder="1"/>
    <xf numFmtId="3" fontId="21" fillId="0" borderId="6" xfId="0" applyNumberFormat="1" applyFont="1" applyBorder="1"/>
    <xf numFmtId="0" fontId="25" fillId="0" borderId="9" xfId="0" applyFont="1" applyBorder="1"/>
    <xf numFmtId="0" fontId="25" fillId="0" borderId="10" xfId="0" applyFont="1" applyBorder="1"/>
    <xf numFmtId="0" fontId="25" fillId="0" borderId="5" xfId="0" applyFont="1" applyBorder="1"/>
    <xf numFmtId="0" fontId="25" fillId="0" borderId="11" xfId="0" applyFont="1" applyBorder="1" applyAlignment="1">
      <alignment vertical="center"/>
    </xf>
    <xf numFmtId="0" fontId="19" fillId="0" borderId="12" xfId="0" applyFont="1" applyBorder="1"/>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9" fontId="19" fillId="4" borderId="0" xfId="0" applyNumberFormat="1" applyFont="1" applyFill="1" applyAlignment="1">
      <alignment horizontal="right"/>
    </xf>
    <xf numFmtId="3" fontId="19" fillId="4" borderId="0" xfId="0" applyNumberFormat="1" applyFont="1" applyFill="1"/>
    <xf numFmtId="0" fontId="19" fillId="4" borderId="0" xfId="0" applyFont="1" applyFill="1"/>
    <xf numFmtId="3" fontId="22" fillId="4" borderId="0" xfId="0" applyNumberFormat="1" applyFont="1" applyFill="1"/>
    <xf numFmtId="0" fontId="19" fillId="0" borderId="17" xfId="0" applyFont="1" applyBorder="1"/>
    <xf numFmtId="0" fontId="19" fillId="0" borderId="7" xfId="0" applyFont="1" applyBorder="1"/>
    <xf numFmtId="0" fontId="19" fillId="0" borderId="18" xfId="0" applyFont="1" applyBorder="1"/>
    <xf numFmtId="9" fontId="19" fillId="6" borderId="19" xfId="0" applyNumberFormat="1" applyFont="1" applyFill="1" applyBorder="1" applyProtection="1">
      <protection locked="0"/>
    </xf>
    <xf numFmtId="9" fontId="19" fillId="4" borderId="19" xfId="0" applyNumberFormat="1" applyFont="1" applyFill="1" applyBorder="1" applyProtection="1">
      <protection locked="0"/>
    </xf>
    <xf numFmtId="0" fontId="25" fillId="0" borderId="6" xfId="0" applyFont="1" applyBorder="1"/>
    <xf numFmtId="0" fontId="19" fillId="0" borderId="0" xfId="0" applyFont="1" applyAlignment="1">
      <alignment vertical="top" wrapText="1"/>
    </xf>
    <xf numFmtId="0" fontId="28" fillId="0" borderId="0" xfId="0" applyFont="1"/>
    <xf numFmtId="0" fontId="29" fillId="0" borderId="0" xfId="0" applyFont="1" applyAlignment="1">
      <alignment vertical="top"/>
    </xf>
    <xf numFmtId="0" fontId="19" fillId="0" borderId="0" xfId="0" applyFont="1" applyAlignment="1">
      <alignment vertical="top"/>
    </xf>
    <xf numFmtId="0" fontId="22" fillId="0" borderId="0" xfId="0" applyFont="1" applyAlignment="1">
      <alignment vertical="top"/>
    </xf>
    <xf numFmtId="0" fontId="14" fillId="3" borderId="1" xfId="0" applyFont="1" applyFill="1" applyBorder="1" applyAlignment="1" applyProtection="1">
      <alignment horizontal="left" vertical="center" wrapText="1"/>
      <protection locked="0"/>
    </xf>
    <xf numFmtId="0" fontId="0" fillId="0" borderId="0" xfId="0" applyAlignment="1">
      <alignment vertical="center" wrapText="1"/>
    </xf>
    <xf numFmtId="164" fontId="19" fillId="0" borderId="0" xfId="0" applyNumberFormat="1" applyFont="1" applyAlignment="1">
      <alignment vertical="top"/>
    </xf>
    <xf numFmtId="0" fontId="30" fillId="0" borderId="0" xfId="0" applyFont="1"/>
    <xf numFmtId="3" fontId="30" fillId="0" borderId="0" xfId="0" applyNumberFormat="1" applyFont="1"/>
    <xf numFmtId="3" fontId="19" fillId="0" borderId="0" xfId="0" applyNumberFormat="1" applyFont="1" applyAlignment="1">
      <alignment horizontal="right" vertical="center"/>
    </xf>
    <xf numFmtId="0" fontId="22" fillId="0" borderId="0" xfId="0" applyFont="1"/>
    <xf numFmtId="3" fontId="30" fillId="0" borderId="0" xfId="0" applyNumberFormat="1" applyFont="1" applyAlignment="1">
      <alignment horizontal="right"/>
    </xf>
    <xf numFmtId="0" fontId="30" fillId="0" borderId="0" xfId="0" applyFont="1" applyAlignment="1">
      <alignment horizontal="right"/>
    </xf>
    <xf numFmtId="165" fontId="19" fillId="0" borderId="0" xfId="0" applyNumberFormat="1" applyFont="1"/>
    <xf numFmtId="40" fontId="19" fillId="0" borderId="0" xfId="0" applyNumberFormat="1" applyFont="1"/>
    <xf numFmtId="38" fontId="19" fillId="0" borderId="0" xfId="0" applyNumberFormat="1" applyFont="1"/>
    <xf numFmtId="10" fontId="19" fillId="0" borderId="0" xfId="0" applyNumberFormat="1" applyFont="1"/>
    <xf numFmtId="3" fontId="30" fillId="0" borderId="4" xfId="0" applyNumberFormat="1" applyFont="1" applyBorder="1"/>
    <xf numFmtId="3" fontId="19" fillId="0" borderId="4" xfId="0" applyNumberFormat="1" applyFont="1" applyBorder="1"/>
    <xf numFmtId="9" fontId="19" fillId="0" borderId="0" xfId="0" applyNumberFormat="1" applyFont="1"/>
    <xf numFmtId="0" fontId="30" fillId="0" borderId="0" xfId="0" applyFont="1" applyAlignment="1">
      <alignment horizontal="left"/>
    </xf>
    <xf numFmtId="49" fontId="6" fillId="8" borderId="0" xfId="0" applyNumberFormat="1" applyFont="1" applyFill="1" applyAlignment="1">
      <alignment vertical="top" wrapText="1"/>
    </xf>
    <xf numFmtId="49" fontId="2" fillId="8" borderId="0" xfId="0" applyNumberFormat="1" applyFont="1" applyFill="1" applyAlignment="1" applyProtection="1">
      <alignment horizontal="center" vertical="center" wrapText="1"/>
      <protection locked="0"/>
    </xf>
    <xf numFmtId="49" fontId="2" fillId="8" borderId="0" xfId="0" applyNumberFormat="1" applyFont="1" applyFill="1" applyAlignment="1">
      <alignment horizontal="left" vertical="center"/>
    </xf>
    <xf numFmtId="49" fontId="10" fillId="0" borderId="1" xfId="0" applyNumberFormat="1" applyFont="1" applyBorder="1" applyAlignment="1">
      <alignment horizontal="center" vertical="center" wrapText="1"/>
    </xf>
    <xf numFmtId="165" fontId="14"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lignment vertical="center" wrapText="1"/>
    </xf>
    <xf numFmtId="3" fontId="6" fillId="0" borderId="1" xfId="0" quotePrefix="1" applyNumberFormat="1" applyFont="1" applyBorder="1" applyAlignment="1">
      <alignment horizontal="right" vertical="center" indent="2"/>
    </xf>
    <xf numFmtId="49" fontId="7" fillId="8" borderId="0" xfId="0" quotePrefix="1" applyNumberFormat="1" applyFont="1" applyFill="1" applyAlignment="1">
      <alignment vertical="center"/>
    </xf>
    <xf numFmtId="0" fontId="2" fillId="8" borderId="0" xfId="0" applyFont="1" applyFill="1" applyAlignment="1">
      <alignment horizontal="center" vertical="center"/>
    </xf>
    <xf numFmtId="3" fontId="6" fillId="0" borderId="0" xfId="0" quotePrefix="1" applyNumberFormat="1" applyFont="1" applyAlignment="1">
      <alignment horizontal="right" vertical="center" indent="2"/>
    </xf>
    <xf numFmtId="165" fontId="14" fillId="0" borderId="0" xfId="0" applyNumberFormat="1" applyFont="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49" fontId="2" fillId="8" borderId="0" xfId="0" applyNumberFormat="1" applyFont="1" applyFill="1" applyAlignment="1">
      <alignment vertical="center" wrapText="1"/>
    </xf>
    <xf numFmtId="49" fontId="2" fillId="8" borderId="0" xfId="0" applyNumberFormat="1" applyFont="1" applyFill="1" applyAlignment="1">
      <alignment horizontal="center" vertical="center" wrapText="1"/>
    </xf>
    <xf numFmtId="0" fontId="2" fillId="8" borderId="0" xfId="0" applyFont="1" applyFill="1" applyAlignment="1">
      <alignment horizontal="center" vertical="center" wrapText="1"/>
    </xf>
    <xf numFmtId="0" fontId="22" fillId="3" borderId="0" xfId="0" applyFont="1" applyFill="1" applyAlignment="1">
      <alignment horizontal="center" vertical="center" wrapText="1"/>
    </xf>
    <xf numFmtId="0" fontId="22" fillId="7" borderId="0" xfId="0" applyFont="1" applyFill="1" applyAlignment="1">
      <alignment horizontal="center" vertical="center" wrapText="1"/>
    </xf>
    <xf numFmtId="0" fontId="22" fillId="8" borderId="0" xfId="0" applyFont="1" applyFill="1" applyAlignment="1">
      <alignment horizontal="center" vertical="center"/>
    </xf>
    <xf numFmtId="0" fontId="22" fillId="4" borderId="0" xfId="0" applyFont="1" applyFill="1" applyAlignment="1">
      <alignment horizontal="center" vertical="center" wrapText="1"/>
    </xf>
    <xf numFmtId="14" fontId="19" fillId="0" borderId="0" xfId="0" applyNumberFormat="1" applyFont="1" applyAlignment="1">
      <alignment vertical="top"/>
    </xf>
    <xf numFmtId="49" fontId="10" fillId="0" borderId="0" xfId="0" applyNumberFormat="1" applyFont="1" applyAlignment="1">
      <alignment horizontal="center" vertical="center" wrapText="1"/>
    </xf>
    <xf numFmtId="49" fontId="10" fillId="7" borderId="0" xfId="0" applyNumberFormat="1" applyFont="1" applyFill="1" applyAlignment="1">
      <alignment horizontal="center" vertical="center" wrapText="1"/>
    </xf>
    <xf numFmtId="49" fontId="2" fillId="7" borderId="0" xfId="0" applyNumberFormat="1" applyFont="1" applyFill="1" applyAlignment="1">
      <alignment vertical="center" wrapText="1"/>
    </xf>
    <xf numFmtId="49" fontId="2" fillId="7" borderId="0" xfId="0" applyNumberFormat="1" applyFont="1" applyFill="1" applyAlignment="1">
      <alignment horizontal="center" vertical="center" wrapText="1"/>
    </xf>
    <xf numFmtId="49" fontId="10" fillId="0" borderId="1" xfId="0" applyNumberFormat="1" applyFont="1" applyBorder="1" applyAlignment="1">
      <alignment horizontal="left" vertical="center" wrapText="1"/>
    </xf>
    <xf numFmtId="49" fontId="6" fillId="0" borderId="23" xfId="0" applyNumberFormat="1" applyFont="1" applyBorder="1" applyAlignment="1">
      <alignment vertical="top" wrapText="1"/>
    </xf>
    <xf numFmtId="49" fontId="6" fillId="0" borderId="25" xfId="0" applyNumberFormat="1" applyFont="1" applyBorder="1" applyAlignment="1">
      <alignment vertical="top" wrapText="1"/>
    </xf>
    <xf numFmtId="49" fontId="6" fillId="0" borderId="24" xfId="0" applyNumberFormat="1" applyFont="1" applyBorder="1" applyAlignment="1">
      <alignment vertical="top" wrapText="1"/>
    </xf>
    <xf numFmtId="49" fontId="6" fillId="0" borderId="25" xfId="0" applyNumberFormat="1" applyFont="1" applyBorder="1" applyAlignment="1">
      <alignment horizontal="right" vertical="top"/>
    </xf>
    <xf numFmtId="49" fontId="6" fillId="0" borderId="26" xfId="0" applyNumberFormat="1" applyFont="1" applyBorder="1" applyAlignment="1">
      <alignment vertical="top" wrapText="1"/>
    </xf>
    <xf numFmtId="49" fontId="6" fillId="0" borderId="27" xfId="0" applyNumberFormat="1" applyFont="1" applyBorder="1" applyAlignment="1">
      <alignment horizontal="right" vertical="top"/>
    </xf>
    <xf numFmtId="49" fontId="6" fillId="0" borderId="0" xfId="0" applyNumberFormat="1" applyFont="1" applyAlignment="1">
      <alignment horizontal="right" vertical="top"/>
    </xf>
    <xf numFmtId="49" fontId="10" fillId="3" borderId="1" xfId="0" applyNumberFormat="1" applyFont="1" applyFill="1" applyBorder="1" applyAlignment="1">
      <alignment horizontal="center" vertical="center" wrapText="1"/>
    </xf>
    <xf numFmtId="49" fontId="6" fillId="0" borderId="1" xfId="0" applyNumberFormat="1" applyFont="1" applyBorder="1" applyAlignment="1">
      <alignment horizontal="right" vertical="top"/>
    </xf>
    <xf numFmtId="165" fontId="14"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49" fontId="7" fillId="7" borderId="29" xfId="0" quotePrefix="1" applyNumberFormat="1" applyFont="1" applyFill="1" applyBorder="1" applyAlignment="1">
      <alignment vertical="center" wrapText="1"/>
    </xf>
    <xf numFmtId="0" fontId="2" fillId="7" borderId="0" xfId="0" applyFont="1" applyFill="1" applyAlignment="1">
      <alignment horizontal="center" vertical="center" wrapText="1"/>
    </xf>
    <xf numFmtId="49" fontId="7" fillId="8" borderId="29" xfId="0" quotePrefix="1" applyNumberFormat="1" applyFont="1" applyFill="1" applyBorder="1" applyAlignment="1">
      <alignment vertical="center" wrapText="1"/>
    </xf>
    <xf numFmtId="49" fontId="10" fillId="9" borderId="4" xfId="0" applyNumberFormat="1" applyFont="1" applyFill="1" applyBorder="1" applyAlignment="1">
      <alignment vertical="center" wrapText="1"/>
    </xf>
    <xf numFmtId="49" fontId="7" fillId="3" borderId="1" xfId="0" applyNumberFormat="1" applyFont="1" applyFill="1" applyBorder="1" applyAlignment="1">
      <alignment vertical="center" wrapText="1"/>
    </xf>
    <xf numFmtId="0" fontId="19" fillId="0" borderId="0" xfId="0" applyFont="1" applyAlignment="1">
      <alignment vertical="top" wrapText="1"/>
    </xf>
    <xf numFmtId="0" fontId="0" fillId="0" borderId="0" xfId="0" applyAlignment="1">
      <alignment vertical="top" wrapText="1"/>
    </xf>
    <xf numFmtId="0" fontId="31" fillId="0" borderId="0" xfId="0" applyFont="1" applyAlignment="1">
      <alignment horizontal="left" vertical="top"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6" fillId="0" borderId="2" xfId="0" applyNumberFormat="1" applyFont="1" applyBorder="1" applyAlignment="1">
      <alignment vertical="top" wrapText="1"/>
    </xf>
    <xf numFmtId="49" fontId="6" fillId="0" borderId="3" xfId="0" applyNumberFormat="1" applyFont="1" applyBorder="1" applyAlignment="1">
      <alignment vertical="top" wrapText="1"/>
    </xf>
    <xf numFmtId="49" fontId="2" fillId="8" borderId="0" xfId="0" applyNumberFormat="1" applyFont="1" applyFill="1" applyAlignment="1">
      <alignment horizontal="left" vertical="center"/>
    </xf>
    <xf numFmtId="49" fontId="6" fillId="0" borderId="2"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49" fontId="7" fillId="0" borderId="24" xfId="0" applyNumberFormat="1" applyFont="1" applyBorder="1" applyAlignment="1">
      <alignment horizontal="left" vertical="top" wrapText="1"/>
    </xf>
    <xf numFmtId="49" fontId="2" fillId="7" borderId="10" xfId="0" applyNumberFormat="1" applyFont="1" applyFill="1" applyBorder="1" applyAlignment="1">
      <alignment horizontal="left" vertical="center"/>
    </xf>
    <xf numFmtId="49" fontId="2" fillId="2" borderId="28" xfId="0" applyNumberFormat="1" applyFont="1" applyFill="1" applyBorder="1" applyAlignment="1">
      <alignment horizontal="left" vertical="center" wrapText="1"/>
    </xf>
    <xf numFmtId="49" fontId="2" fillId="2" borderId="10"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7" fillId="8" borderId="29" xfId="0" quotePrefix="1" applyNumberFormat="1" applyFont="1" applyFill="1" applyBorder="1" applyAlignment="1">
      <alignment vertical="center" wrapText="1"/>
    </xf>
    <xf numFmtId="49" fontId="10" fillId="9" borderId="4" xfId="0" applyNumberFormat="1" applyFont="1" applyFill="1" applyBorder="1" applyAlignment="1">
      <alignment vertical="center" wrapText="1"/>
    </xf>
    <xf numFmtId="49" fontId="7" fillId="7" borderId="29" xfId="0" quotePrefix="1" applyNumberFormat="1" applyFont="1" applyFill="1" applyBorder="1" applyAlignment="1">
      <alignment vertical="center" wrapText="1"/>
    </xf>
    <xf numFmtId="49" fontId="6" fillId="0" borderId="1" xfId="0" applyNumberFormat="1" applyFont="1" applyBorder="1" applyAlignment="1">
      <alignment vertical="top" wrapText="1"/>
    </xf>
    <xf numFmtId="49" fontId="17" fillId="3" borderId="0" xfId="0" applyNumberFormat="1" applyFont="1" applyFill="1" applyAlignment="1">
      <alignment horizontal="center" vertical="center" wrapText="1"/>
    </xf>
    <xf numFmtId="49" fontId="2" fillId="7" borderId="0" xfId="0" applyNumberFormat="1" applyFont="1" applyFill="1" applyAlignment="1">
      <alignment horizontal="center" vertical="center" wrapText="1"/>
    </xf>
    <xf numFmtId="0" fontId="20" fillId="0" borderId="0" xfId="0" applyFont="1" applyAlignment="1">
      <alignment vertical="top" wrapText="1"/>
    </xf>
    <xf numFmtId="0" fontId="19" fillId="4" borderId="20" xfId="0" applyFont="1" applyFill="1" applyBorder="1" applyProtection="1">
      <protection locked="0"/>
    </xf>
    <xf numFmtId="0" fontId="19" fillId="4" borderId="21" xfId="0" applyFont="1" applyFill="1" applyBorder="1" applyProtection="1">
      <protection locked="0"/>
    </xf>
    <xf numFmtId="0" fontId="19" fillId="4" borderId="22" xfId="0" applyFont="1" applyFill="1" applyBorder="1" applyProtection="1">
      <protection locked="0"/>
    </xf>
    <xf numFmtId="0" fontId="30" fillId="0" borderId="0" xfId="0" applyFont="1" applyAlignment="1">
      <alignment horizontal="left" vertical="top" wrapText="1"/>
    </xf>
    <xf numFmtId="49" fontId="8" fillId="0" borderId="0" xfId="0" applyNumberFormat="1"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CFFCC"/>
      <color rgb="FFCCFFFF"/>
      <color rgb="FFCCCCFF"/>
      <color rgb="FFFFCCFF"/>
      <color rgb="FFFF99FF"/>
      <color rgb="FFFFCCCC"/>
      <color rgb="FFFFCC99"/>
      <color rgb="FFFFFFCC"/>
      <color rgb="FF66FF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mployerlink.porticobenefits.org/resources/calculators/benefit-costs-calculato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54C2-FB3D-4182-A780-D4816937C7C5}">
  <sheetPr>
    <tabColor rgb="FFFFCCCC"/>
  </sheetPr>
  <dimension ref="A1:I19"/>
  <sheetViews>
    <sheetView workbookViewId="0">
      <selection activeCell="C1" sqref="C1"/>
    </sheetView>
  </sheetViews>
  <sheetFormatPr defaultRowHeight="15.75" x14ac:dyDescent="0.25"/>
  <cols>
    <col min="1" max="1" width="28.28515625" style="84" customWidth="1"/>
    <col min="2" max="2" width="62" style="84" customWidth="1"/>
    <col min="3" max="16384" width="9.140625" style="22"/>
  </cols>
  <sheetData>
    <row r="1" spans="1:9" ht="20.25" x14ac:dyDescent="0.25">
      <c r="A1" s="83" t="s">
        <v>115</v>
      </c>
    </row>
    <row r="2" spans="1:9" ht="20.25" x14ac:dyDescent="0.25">
      <c r="A2" s="83" t="s">
        <v>173</v>
      </c>
    </row>
    <row r="4" spans="1:9" ht="102" customHeight="1" x14ac:dyDescent="0.25">
      <c r="A4" s="144" t="s">
        <v>174</v>
      </c>
      <c r="B4" s="145"/>
      <c r="C4" s="81"/>
      <c r="D4" s="81"/>
      <c r="E4" s="81"/>
      <c r="F4" s="81"/>
      <c r="G4" s="81"/>
      <c r="H4" s="81"/>
      <c r="I4" s="81"/>
    </row>
    <row r="6" spans="1:9" ht="63" x14ac:dyDescent="0.25">
      <c r="A6" s="118" t="s">
        <v>171</v>
      </c>
      <c r="B6" s="81" t="s">
        <v>172</v>
      </c>
    </row>
    <row r="7" spans="1:9" x14ac:dyDescent="0.25">
      <c r="A7" s="85"/>
    </row>
    <row r="8" spans="1:9" ht="86.25" customHeight="1" x14ac:dyDescent="0.25">
      <c r="A8" s="119" t="s">
        <v>116</v>
      </c>
      <c r="B8" s="81" t="s">
        <v>121</v>
      </c>
    </row>
    <row r="9" spans="1:9" x14ac:dyDescent="0.25">
      <c r="A9" s="85"/>
    </row>
    <row r="10" spans="1:9" ht="54.75" customHeight="1" x14ac:dyDescent="0.25">
      <c r="A10" s="120" t="s">
        <v>114</v>
      </c>
      <c r="B10" s="81" t="s">
        <v>117</v>
      </c>
    </row>
    <row r="11" spans="1:9" x14ac:dyDescent="0.25">
      <c r="A11" s="85"/>
    </row>
    <row r="12" spans="1:9" ht="54.75" customHeight="1" x14ac:dyDescent="0.25">
      <c r="A12" s="121" t="s">
        <v>119</v>
      </c>
      <c r="B12" s="81" t="s">
        <v>118</v>
      </c>
    </row>
    <row r="14" spans="1:9" ht="15.75" customHeight="1" x14ac:dyDescent="0.25">
      <c r="A14" s="146" t="s">
        <v>238</v>
      </c>
      <c r="B14" s="146"/>
    </row>
    <row r="15" spans="1:9" x14ac:dyDescent="0.25">
      <c r="A15" s="146"/>
      <c r="B15" s="146"/>
    </row>
    <row r="16" spans="1:9" x14ac:dyDescent="0.25">
      <c r="A16" s="146"/>
      <c r="B16" s="146"/>
    </row>
    <row r="17" spans="1:2" x14ac:dyDescent="0.25">
      <c r="A17" s="146"/>
      <c r="B17" s="146"/>
    </row>
    <row r="19" spans="1:2" x14ac:dyDescent="0.25">
      <c r="A19" s="84" t="s">
        <v>236</v>
      </c>
      <c r="B19" s="122"/>
    </row>
  </sheetData>
  <mergeCells count="2">
    <mergeCell ref="A4:B4"/>
    <mergeCell ref="A14:B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6E76-7B78-43F9-9F20-553DFD376D78}">
  <sheetPr>
    <tabColor rgb="FFCCFFFF"/>
    <pageSetUpPr fitToPage="1"/>
  </sheetPr>
  <dimension ref="A1:F56"/>
  <sheetViews>
    <sheetView tabSelected="1" zoomScaleNormal="100" workbookViewId="0">
      <selection activeCell="D6" sqref="D6"/>
    </sheetView>
  </sheetViews>
  <sheetFormatPr defaultRowHeight="15" x14ac:dyDescent="0.25"/>
  <cols>
    <col min="1" max="1" width="16.7109375" style="1" customWidth="1"/>
    <col min="2" max="2" width="53.7109375" style="1" customWidth="1"/>
    <col min="3" max="3" width="58.7109375" style="1" customWidth="1"/>
    <col min="4" max="4" width="12.7109375" style="5" customWidth="1"/>
    <col min="5" max="5" width="16.7109375" customWidth="1"/>
    <col min="6" max="6" width="36" customWidth="1"/>
  </cols>
  <sheetData>
    <row r="1" spans="1:6" ht="45" customHeight="1" x14ac:dyDescent="0.25">
      <c r="A1" s="19" t="s">
        <v>181</v>
      </c>
      <c r="D1" s="164" t="s">
        <v>41</v>
      </c>
      <c r="E1" s="164"/>
      <c r="F1" s="164"/>
    </row>
    <row r="3" spans="1:6" ht="30" customHeight="1" x14ac:dyDescent="0.25">
      <c r="A3" s="157" t="s">
        <v>210</v>
      </c>
      <c r="B3" s="158"/>
      <c r="C3" s="158"/>
      <c r="D3" s="158"/>
      <c r="E3" s="158"/>
      <c r="F3" s="159"/>
    </row>
    <row r="4" spans="1:6" ht="24.75" customHeight="1" x14ac:dyDescent="0.25">
      <c r="A4" s="105" t="s">
        <v>150</v>
      </c>
      <c r="B4" s="103"/>
      <c r="C4" s="110" t="s">
        <v>170</v>
      </c>
      <c r="D4" s="104"/>
      <c r="E4" s="117" t="s">
        <v>8</v>
      </c>
      <c r="F4" s="111" t="s">
        <v>122</v>
      </c>
    </row>
    <row r="5" spans="1:6" ht="69" customHeight="1" x14ac:dyDescent="0.25">
      <c r="A5" s="106" t="s">
        <v>135</v>
      </c>
      <c r="B5" s="8" t="s">
        <v>168</v>
      </c>
      <c r="C5" s="13" t="s">
        <v>151</v>
      </c>
      <c r="D5" s="107">
        <v>8.6999999999999994E-2</v>
      </c>
      <c r="E5" s="9" t="s">
        <v>9</v>
      </c>
      <c r="F5" s="86"/>
    </row>
    <row r="6" spans="1:6" ht="51" customHeight="1" x14ac:dyDescent="0.25">
      <c r="A6" s="106" t="s">
        <v>153</v>
      </c>
      <c r="B6" s="8" t="s">
        <v>152</v>
      </c>
      <c r="C6" s="108" t="s">
        <v>179</v>
      </c>
      <c r="D6" s="42"/>
      <c r="E6" s="9" t="s">
        <v>219</v>
      </c>
      <c r="F6" s="86"/>
    </row>
    <row r="7" spans="1:6" ht="24" customHeight="1" x14ac:dyDescent="0.25">
      <c r="A7" s="15"/>
      <c r="B7" s="16"/>
      <c r="C7" s="109" t="s">
        <v>154</v>
      </c>
      <c r="D7" s="20" t="str">
        <f>IF(ISBLANK(D$6),"",D6*D5)</f>
        <v/>
      </c>
      <c r="E7" s="9" t="s">
        <v>10</v>
      </c>
      <c r="F7" s="86"/>
    </row>
    <row r="8" spans="1:6" ht="33" customHeight="1" x14ac:dyDescent="0.25">
      <c r="A8" s="171" t="s">
        <v>239</v>
      </c>
      <c r="B8" s="171"/>
      <c r="C8" s="109" t="s">
        <v>176</v>
      </c>
      <c r="D8" s="42"/>
      <c r="E8" s="9" t="s">
        <v>11</v>
      </c>
      <c r="F8" s="86"/>
    </row>
    <row r="9" spans="1:6" ht="33" customHeight="1" x14ac:dyDescent="0.25">
      <c r="A9" s="171" t="s">
        <v>240</v>
      </c>
      <c r="B9" s="171"/>
      <c r="C9" s="109" t="s">
        <v>177</v>
      </c>
      <c r="D9" s="42"/>
      <c r="E9" s="9" t="s">
        <v>12</v>
      </c>
      <c r="F9" s="86"/>
    </row>
    <row r="10" spans="1:6" ht="24" customHeight="1" x14ac:dyDescent="0.25">
      <c r="A10" s="15"/>
      <c r="B10" s="16"/>
      <c r="C10" s="109" t="s">
        <v>178</v>
      </c>
      <c r="D10" s="20" t="str">
        <f>IF(ISBLANK(D$6),"",D7+D8+D9)</f>
        <v/>
      </c>
      <c r="E10" s="9" t="s">
        <v>13</v>
      </c>
      <c r="F10" s="86"/>
    </row>
    <row r="11" spans="1:6" ht="21.75" customHeight="1" x14ac:dyDescent="0.25">
      <c r="A11" s="15"/>
      <c r="B11" s="16"/>
      <c r="C11" s="112"/>
      <c r="D11" s="113"/>
      <c r="E11" s="87"/>
      <c r="F11" s="114"/>
    </row>
    <row r="12" spans="1:6" ht="36" x14ac:dyDescent="0.25">
      <c r="A12" s="151" t="s">
        <v>4</v>
      </c>
      <c r="B12" s="151"/>
      <c r="C12" s="115" t="s">
        <v>169</v>
      </c>
      <c r="D12" s="116" t="s">
        <v>6</v>
      </c>
      <c r="E12" s="117" t="s">
        <v>8</v>
      </c>
      <c r="F12" s="116" t="s">
        <v>122</v>
      </c>
    </row>
    <row r="13" spans="1:6" ht="31.5" x14ac:dyDescent="0.25">
      <c r="A13" s="106" t="s">
        <v>159</v>
      </c>
      <c r="B13" s="8" t="s">
        <v>160</v>
      </c>
      <c r="C13" s="8" t="s">
        <v>161</v>
      </c>
      <c r="D13" s="12" t="str">
        <f>IF(ISBLANK(D10),"",D10)</f>
        <v/>
      </c>
      <c r="E13" s="9" t="s">
        <v>14</v>
      </c>
      <c r="F13" s="86"/>
    </row>
    <row r="14" spans="1:6" ht="47.25" x14ac:dyDescent="0.25">
      <c r="A14" s="106" t="s">
        <v>22</v>
      </c>
      <c r="B14" s="152" t="s">
        <v>165</v>
      </c>
      <c r="C14" s="8" t="s">
        <v>166</v>
      </c>
      <c r="D14" s="12" t="str">
        <f>IF(AND(NOT(ISBLANK(D46)),D55&gt;0),D48,"")</f>
        <v/>
      </c>
      <c r="E14" s="9" t="s">
        <v>15</v>
      </c>
      <c r="F14" s="86"/>
    </row>
    <row r="15" spans="1:6" ht="63" x14ac:dyDescent="0.25">
      <c r="A15" s="106" t="s">
        <v>162</v>
      </c>
      <c r="B15" s="153"/>
      <c r="C15" s="8" t="s">
        <v>167</v>
      </c>
      <c r="D15" s="12" t="str">
        <f>IF(AND(NOT(ISBLANK(D46)),D56&gt;0),D48+D56,"")</f>
        <v/>
      </c>
      <c r="E15" s="9" t="s">
        <v>16</v>
      </c>
      <c r="F15" s="86"/>
    </row>
    <row r="16" spans="1:6" ht="244.5" customHeight="1" x14ac:dyDescent="0.25">
      <c r="A16" s="106" t="s">
        <v>163</v>
      </c>
      <c r="B16" s="163" t="s">
        <v>164</v>
      </c>
      <c r="C16" s="163"/>
      <c r="D16" s="42"/>
      <c r="E16" s="9" t="s">
        <v>17</v>
      </c>
      <c r="F16" s="86"/>
    </row>
    <row r="17" spans="1:6" ht="31.5" x14ac:dyDescent="0.25">
      <c r="A17" s="106" t="s">
        <v>38</v>
      </c>
      <c r="B17" s="8" t="s">
        <v>39</v>
      </c>
      <c r="C17" s="8" t="s">
        <v>175</v>
      </c>
      <c r="D17" s="12" t="str">
        <f>IF(ISNUMBER(D16),0.0765*D16,"")</f>
        <v/>
      </c>
      <c r="E17" s="9" t="s">
        <v>18</v>
      </c>
      <c r="F17" s="86"/>
    </row>
    <row r="18" spans="1:6" ht="18" x14ac:dyDescent="0.25">
      <c r="A18" s="123"/>
      <c r="B18" s="16"/>
      <c r="C18" s="16"/>
      <c r="D18" s="18"/>
      <c r="E18" s="17"/>
      <c r="F18" s="114"/>
    </row>
    <row r="19" spans="1:6" ht="30" customHeight="1" x14ac:dyDescent="0.25">
      <c r="A19" s="157" t="s">
        <v>211</v>
      </c>
      <c r="B19" s="158"/>
      <c r="C19" s="158"/>
      <c r="D19" s="158"/>
      <c r="E19" s="158"/>
      <c r="F19" s="159"/>
    </row>
    <row r="20" spans="1:6" ht="53.25" customHeight="1" x14ac:dyDescent="0.25">
      <c r="A20" s="162" t="s">
        <v>182</v>
      </c>
      <c r="B20" s="162"/>
      <c r="C20" s="162"/>
      <c r="D20" s="139"/>
      <c r="E20" s="139"/>
      <c r="F20" s="139"/>
    </row>
    <row r="21" spans="1:6" ht="36" x14ac:dyDescent="0.25">
      <c r="A21" s="124"/>
      <c r="B21" s="125" t="s">
        <v>184</v>
      </c>
      <c r="C21" s="125" t="s">
        <v>183</v>
      </c>
      <c r="D21" s="126" t="s">
        <v>6</v>
      </c>
      <c r="E21" s="165" t="s">
        <v>122</v>
      </c>
      <c r="F21" s="165"/>
    </row>
    <row r="22" spans="1:6" ht="63" x14ac:dyDescent="0.25">
      <c r="A22" s="123"/>
      <c r="B22" s="127" t="s">
        <v>185</v>
      </c>
      <c r="C22" s="8" t="s">
        <v>186</v>
      </c>
      <c r="D22" s="12">
        <v>1000</v>
      </c>
      <c r="E22" s="9" t="s">
        <v>19</v>
      </c>
      <c r="F22" s="143"/>
    </row>
    <row r="23" spans="1:6" ht="31.5" x14ac:dyDescent="0.25">
      <c r="A23" s="123"/>
      <c r="B23" s="127" t="s">
        <v>187</v>
      </c>
      <c r="C23" s="8" t="s">
        <v>192</v>
      </c>
      <c r="D23" s="12"/>
      <c r="E23" s="9" t="s">
        <v>20</v>
      </c>
      <c r="F23" s="143"/>
    </row>
    <row r="24" spans="1:6" ht="31.5" x14ac:dyDescent="0.25">
      <c r="A24" s="123"/>
      <c r="B24" s="127" t="s">
        <v>188</v>
      </c>
      <c r="C24" s="8" t="s">
        <v>189</v>
      </c>
      <c r="D24" s="12"/>
      <c r="E24" s="9" t="s">
        <v>220</v>
      </c>
      <c r="F24" s="143"/>
    </row>
    <row r="25" spans="1:6" ht="47.25" x14ac:dyDescent="0.25">
      <c r="A25" s="123"/>
      <c r="B25" s="127" t="s">
        <v>190</v>
      </c>
      <c r="C25" s="8" t="s">
        <v>191</v>
      </c>
      <c r="D25" s="12"/>
      <c r="E25" s="9" t="s">
        <v>221</v>
      </c>
      <c r="F25" s="143"/>
    </row>
    <row r="26" spans="1:6" ht="18" x14ac:dyDescent="0.25">
      <c r="A26" s="123"/>
      <c r="B26" s="127" t="s">
        <v>193</v>
      </c>
      <c r="C26" s="8" t="s">
        <v>194</v>
      </c>
      <c r="D26" s="12">
        <f>SUM(D22:D25)</f>
        <v>1000</v>
      </c>
      <c r="E26" s="9" t="s">
        <v>222</v>
      </c>
      <c r="F26" s="114"/>
    </row>
    <row r="27" spans="1:6" ht="31.5" x14ac:dyDescent="0.25">
      <c r="A27" s="123"/>
      <c r="B27" s="127" t="s">
        <v>38</v>
      </c>
      <c r="C27" s="8" t="s">
        <v>195</v>
      </c>
      <c r="D27" s="12">
        <f>D26*0.0765</f>
        <v>76.5</v>
      </c>
      <c r="E27" s="9" t="s">
        <v>223</v>
      </c>
      <c r="F27" s="114"/>
    </row>
    <row r="28" spans="1:6" ht="18" x14ac:dyDescent="0.25">
      <c r="A28" s="123"/>
      <c r="B28" s="16"/>
      <c r="C28" s="16"/>
      <c r="D28" s="18"/>
      <c r="E28" s="17"/>
      <c r="F28" s="114"/>
    </row>
    <row r="29" spans="1:6" ht="18" x14ac:dyDescent="0.25">
      <c r="A29" s="123"/>
      <c r="B29" s="154" t="s">
        <v>200</v>
      </c>
      <c r="C29" s="128" t="s">
        <v>40</v>
      </c>
      <c r="D29" s="12" t="str">
        <f>IF(ISNUMBER(D16),D16,"")</f>
        <v/>
      </c>
      <c r="E29" s="17"/>
      <c r="F29" s="114"/>
    </row>
    <row r="30" spans="1:6" ht="18" x14ac:dyDescent="0.25">
      <c r="A30" s="123"/>
      <c r="B30" s="155"/>
      <c r="C30" s="129" t="s">
        <v>196</v>
      </c>
      <c r="D30" s="12" t="str">
        <f>IF(ISNUMBER(D16),D26,"")</f>
        <v/>
      </c>
      <c r="E30" s="17"/>
      <c r="F30" s="114"/>
    </row>
    <row r="31" spans="1:6" ht="18" x14ac:dyDescent="0.25">
      <c r="A31" s="123"/>
      <c r="B31" s="130"/>
      <c r="C31" s="129" t="s">
        <v>197</v>
      </c>
      <c r="D31" s="12" t="str">
        <f>IF(ISNUMBER(D16),D17+D27,"")</f>
        <v/>
      </c>
      <c r="E31" s="17"/>
      <c r="F31" s="114"/>
    </row>
    <row r="32" spans="1:6" ht="18" x14ac:dyDescent="0.25">
      <c r="A32" s="123"/>
      <c r="B32" s="130"/>
      <c r="C32" s="131" t="s">
        <v>198</v>
      </c>
      <c r="D32" s="12" t="str">
        <f>IF(ISNUMBER(D16),30%*(D29+D30+D31),"")</f>
        <v/>
      </c>
      <c r="E32" s="17"/>
      <c r="F32" s="114"/>
    </row>
    <row r="33" spans="1:6" ht="18" x14ac:dyDescent="0.25">
      <c r="A33" s="123"/>
      <c r="B33" s="132"/>
      <c r="C33" s="133" t="s">
        <v>199</v>
      </c>
      <c r="D33" s="12" t="str">
        <f>IF(ISNUMBER(D16),D29+D30+D31+D32,"")</f>
        <v/>
      </c>
      <c r="E33" s="17"/>
      <c r="F33" s="114"/>
    </row>
    <row r="34" spans="1:6" ht="18" x14ac:dyDescent="0.25">
      <c r="A34" s="123"/>
      <c r="B34" s="16"/>
      <c r="C34" s="134"/>
      <c r="D34" s="18"/>
      <c r="E34" s="17"/>
      <c r="F34" s="114"/>
    </row>
    <row r="35" spans="1:6" ht="30" customHeight="1" x14ac:dyDescent="0.25">
      <c r="A35" s="157" t="s">
        <v>212</v>
      </c>
      <c r="B35" s="158"/>
      <c r="C35" s="158"/>
      <c r="D35" s="158"/>
      <c r="E35" s="158"/>
      <c r="F35" s="159"/>
    </row>
    <row r="36" spans="1:6" ht="33.75" customHeight="1" x14ac:dyDescent="0.25">
      <c r="A36" s="156" t="s">
        <v>213</v>
      </c>
      <c r="B36" s="156"/>
      <c r="C36" s="156"/>
      <c r="D36" s="126"/>
      <c r="E36" s="140"/>
      <c r="F36" s="126" t="s">
        <v>122</v>
      </c>
    </row>
    <row r="37" spans="1:6" ht="18" x14ac:dyDescent="0.25">
      <c r="A37" s="135" t="s">
        <v>214</v>
      </c>
      <c r="B37" s="8" t="s">
        <v>204</v>
      </c>
      <c r="C37" s="136" t="s">
        <v>206</v>
      </c>
      <c r="D37" s="137">
        <v>0.03</v>
      </c>
      <c r="E37" s="9" t="s">
        <v>224</v>
      </c>
      <c r="F37" s="143"/>
    </row>
    <row r="38" spans="1:6" ht="18" x14ac:dyDescent="0.25">
      <c r="A38" s="135"/>
      <c r="B38" s="8" t="s">
        <v>205</v>
      </c>
      <c r="C38" s="136" t="s">
        <v>207</v>
      </c>
      <c r="D38" s="138"/>
      <c r="E38" s="9" t="s">
        <v>225</v>
      </c>
      <c r="F38" s="143"/>
    </row>
    <row r="39" spans="1:6" ht="18" x14ac:dyDescent="0.25">
      <c r="A39" s="123"/>
      <c r="B39" s="16"/>
      <c r="C39" s="136" t="s">
        <v>208</v>
      </c>
      <c r="D39" s="12" t="str">
        <f>IF(ISNUMBER(D16),IF(NOT(ISBLANK(A37)),D33*D37,IF(NOT(ISBLANK(A38)),12*D38,"")),"")</f>
        <v/>
      </c>
      <c r="E39" s="9" t="s">
        <v>226</v>
      </c>
      <c r="F39" s="143"/>
    </row>
    <row r="40" spans="1:6" ht="18" x14ac:dyDescent="0.25">
      <c r="A40" s="123"/>
      <c r="B40" s="16"/>
      <c r="C40" s="134"/>
      <c r="D40" s="18"/>
      <c r="E40" s="17"/>
      <c r="F40" s="114"/>
    </row>
    <row r="41" spans="1:6" ht="30" customHeight="1" x14ac:dyDescent="0.25">
      <c r="A41" s="157" t="s">
        <v>215</v>
      </c>
      <c r="B41" s="158"/>
      <c r="C41" s="158"/>
      <c r="D41" s="158"/>
      <c r="E41" s="158"/>
      <c r="F41" s="159"/>
    </row>
    <row r="42" spans="1:6" ht="35.25" customHeight="1" x14ac:dyDescent="0.25">
      <c r="A42" s="160" t="s">
        <v>216</v>
      </c>
      <c r="B42" s="160"/>
      <c r="C42" s="160"/>
      <c r="D42" s="141"/>
      <c r="E42" s="141"/>
      <c r="F42" s="111" t="s">
        <v>122</v>
      </c>
    </row>
    <row r="43" spans="1:6" ht="35.25" customHeight="1" x14ac:dyDescent="0.25">
      <c r="A43" s="161" t="s">
        <v>155</v>
      </c>
      <c r="B43" s="161"/>
      <c r="C43" s="161"/>
      <c r="D43" s="142"/>
      <c r="E43" s="142"/>
      <c r="F43" s="142"/>
    </row>
    <row r="44" spans="1:6" ht="36" x14ac:dyDescent="0.25">
      <c r="A44" s="6" t="s">
        <v>217</v>
      </c>
      <c r="B44" s="6" t="s">
        <v>5</v>
      </c>
      <c r="C44" s="6" t="s">
        <v>0</v>
      </c>
      <c r="D44" s="7" t="s">
        <v>1</v>
      </c>
      <c r="E44" s="7" t="s">
        <v>8</v>
      </c>
      <c r="F44" s="7" t="s">
        <v>122</v>
      </c>
    </row>
    <row r="45" spans="1:6" ht="232.5" customHeight="1" x14ac:dyDescent="0.25">
      <c r="A45" s="106" t="s">
        <v>21</v>
      </c>
      <c r="B45" s="8" t="s">
        <v>28</v>
      </c>
      <c r="C45" s="8" t="s">
        <v>180</v>
      </c>
      <c r="D45" s="20">
        <v>44500</v>
      </c>
      <c r="E45" s="9" t="s">
        <v>227</v>
      </c>
      <c r="F45" s="86"/>
    </row>
    <row r="46" spans="1:6" ht="42" customHeight="1" x14ac:dyDescent="0.25">
      <c r="A46" s="147" t="s">
        <v>23</v>
      </c>
      <c r="B46" s="149" t="s">
        <v>29</v>
      </c>
      <c r="C46" s="149" t="s">
        <v>34</v>
      </c>
      <c r="D46" s="42"/>
      <c r="E46" s="9" t="s">
        <v>228</v>
      </c>
      <c r="F46" s="86"/>
    </row>
    <row r="47" spans="1:6" ht="42" customHeight="1" x14ac:dyDescent="0.25">
      <c r="A47" s="148"/>
      <c r="B47" s="150"/>
      <c r="C47" s="150"/>
      <c r="D47" s="12">
        <f>IF(ISNUMBER(D46),D46*400,)</f>
        <v>0</v>
      </c>
      <c r="E47" s="14" t="s">
        <v>33</v>
      </c>
      <c r="F47" s="86"/>
    </row>
    <row r="48" spans="1:6" ht="126" x14ac:dyDescent="0.25">
      <c r="A48" s="106" t="s">
        <v>22</v>
      </c>
      <c r="B48" s="8" t="s">
        <v>35</v>
      </c>
      <c r="C48" s="8" t="s">
        <v>36</v>
      </c>
      <c r="D48" s="12">
        <f>D45+D47</f>
        <v>44500</v>
      </c>
      <c r="E48" s="9" t="s">
        <v>229</v>
      </c>
      <c r="F48" s="86"/>
    </row>
    <row r="49" spans="1:6" ht="15" customHeight="1" x14ac:dyDescent="0.25">
      <c r="D49" s="4"/>
      <c r="E49" s="3"/>
    </row>
    <row r="50" spans="1:6" ht="36" x14ac:dyDescent="0.25">
      <c r="A50" s="10" t="s">
        <v>218</v>
      </c>
      <c r="B50" s="10" t="s">
        <v>2</v>
      </c>
      <c r="C50" s="10" t="s">
        <v>0</v>
      </c>
      <c r="D50" s="11" t="s">
        <v>7</v>
      </c>
      <c r="E50" s="7" t="s">
        <v>8</v>
      </c>
      <c r="F50" s="7" t="s">
        <v>122</v>
      </c>
    </row>
    <row r="51" spans="1:6" s="2" customFormat="1" ht="63" x14ac:dyDescent="0.25">
      <c r="A51" s="106" t="s">
        <v>31</v>
      </c>
      <c r="B51" s="8" t="s">
        <v>30</v>
      </c>
      <c r="C51" s="8" t="s">
        <v>156</v>
      </c>
      <c r="D51" s="42"/>
      <c r="E51" s="9" t="s">
        <v>230</v>
      </c>
      <c r="F51" s="86"/>
    </row>
    <row r="52" spans="1:6" ht="78.75" x14ac:dyDescent="0.25">
      <c r="A52" s="106" t="s">
        <v>24</v>
      </c>
      <c r="B52" s="8" t="s">
        <v>32</v>
      </c>
      <c r="C52" s="8" t="s">
        <v>107</v>
      </c>
      <c r="D52" s="42"/>
      <c r="E52" s="9" t="s">
        <v>231</v>
      </c>
      <c r="F52" s="86"/>
    </row>
    <row r="53" spans="1:6" ht="94.5" x14ac:dyDescent="0.25">
      <c r="A53" s="106" t="s">
        <v>110</v>
      </c>
      <c r="B53" s="8" t="s">
        <v>108</v>
      </c>
      <c r="C53" s="8" t="s">
        <v>109</v>
      </c>
      <c r="D53" s="42"/>
      <c r="E53" s="9" t="s">
        <v>232</v>
      </c>
      <c r="F53" s="86"/>
    </row>
    <row r="54" spans="1:6" ht="78.75" x14ac:dyDescent="0.25">
      <c r="A54" s="106" t="s">
        <v>25</v>
      </c>
      <c r="B54" s="8" t="s">
        <v>3</v>
      </c>
      <c r="C54" s="8" t="s">
        <v>120</v>
      </c>
      <c r="D54" s="42"/>
      <c r="E54" s="9" t="s">
        <v>233</v>
      </c>
      <c r="F54" s="86"/>
    </row>
    <row r="55" spans="1:6" ht="63" x14ac:dyDescent="0.25">
      <c r="A55" s="106" t="s">
        <v>26</v>
      </c>
      <c r="B55" s="8" t="s">
        <v>111</v>
      </c>
      <c r="C55" s="8" t="s">
        <v>37</v>
      </c>
      <c r="D55" s="12">
        <f>IF(D51&gt;10,10,D51)+D52+D53+D54</f>
        <v>0</v>
      </c>
      <c r="E55" s="9" t="s">
        <v>234</v>
      </c>
      <c r="F55" s="86"/>
    </row>
    <row r="56" spans="1:6" s="2" customFormat="1" ht="87" x14ac:dyDescent="0.25">
      <c r="A56" s="106" t="s">
        <v>27</v>
      </c>
      <c r="B56" s="8" t="s">
        <v>157</v>
      </c>
      <c r="C56" s="8" t="s">
        <v>158</v>
      </c>
      <c r="D56" s="12">
        <f>400*D55</f>
        <v>0</v>
      </c>
      <c r="E56" s="9" t="s">
        <v>235</v>
      </c>
      <c r="F56" s="86"/>
    </row>
  </sheetData>
  <mergeCells count="19">
    <mergeCell ref="D1:F1"/>
    <mergeCell ref="E21:F21"/>
    <mergeCell ref="A3:F3"/>
    <mergeCell ref="A8:B8"/>
    <mergeCell ref="A9:B9"/>
    <mergeCell ref="A46:A47"/>
    <mergeCell ref="B46:B47"/>
    <mergeCell ref="C46:C47"/>
    <mergeCell ref="A12:B12"/>
    <mergeCell ref="B14:B15"/>
    <mergeCell ref="B29:B30"/>
    <mergeCell ref="A36:C36"/>
    <mergeCell ref="A41:F41"/>
    <mergeCell ref="A42:C42"/>
    <mergeCell ref="A43:C43"/>
    <mergeCell ref="A19:F19"/>
    <mergeCell ref="A20:C20"/>
    <mergeCell ref="A35:F35"/>
    <mergeCell ref="B16:C16"/>
  </mergeCells>
  <pageMargins left="0.7" right="0.7" top="0.5" bottom="0.5" header="0" footer="0"/>
  <pageSetup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E459-9D71-4391-ACE6-92ABCE998D72}">
  <sheetPr>
    <tabColor rgb="FFCCFFCC"/>
  </sheetPr>
  <dimension ref="A1:Q59"/>
  <sheetViews>
    <sheetView workbookViewId="0">
      <selection activeCell="C31" sqref="C31"/>
    </sheetView>
  </sheetViews>
  <sheetFormatPr defaultRowHeight="15.75" x14ac:dyDescent="0.25"/>
  <cols>
    <col min="1" max="1" width="22.7109375" style="22" customWidth="1"/>
    <col min="2" max="2" width="7.85546875" style="22" customWidth="1"/>
    <col min="3" max="4" width="9.28515625" style="23" customWidth="1"/>
    <col min="5" max="6" width="9.140625" style="22"/>
    <col min="7" max="7" width="14.85546875" style="22" customWidth="1"/>
    <col min="8" max="8" width="3.28515625" style="22" customWidth="1"/>
    <col min="9" max="9" width="12.42578125" style="22" customWidth="1"/>
    <col min="10" max="16" width="9.140625" style="22"/>
    <col min="17" max="17" width="3.28515625" style="22" customWidth="1"/>
    <col min="18" max="16384" width="9.140625" style="22"/>
  </cols>
  <sheetData>
    <row r="1" spans="1:17" ht="18" x14ac:dyDescent="0.25">
      <c r="A1" s="21" t="s">
        <v>64</v>
      </c>
    </row>
    <row r="2" spans="1:17" ht="15.75" customHeight="1" x14ac:dyDescent="0.25">
      <c r="A2" s="166" t="s">
        <v>106</v>
      </c>
      <c r="B2" s="166"/>
      <c r="C2" s="166"/>
      <c r="D2" s="166"/>
      <c r="E2" s="166"/>
      <c r="F2" s="166"/>
      <c r="G2" s="166"/>
    </row>
    <row r="3" spans="1:17" x14ac:dyDescent="0.25">
      <c r="A3" s="166"/>
      <c r="B3" s="166"/>
      <c r="C3" s="166"/>
      <c r="D3" s="166"/>
      <c r="E3" s="166"/>
      <c r="F3" s="166"/>
      <c r="G3" s="166"/>
    </row>
    <row r="4" spans="1:17" x14ac:dyDescent="0.25">
      <c r="A4" s="166"/>
      <c r="B4" s="166"/>
      <c r="C4" s="166"/>
      <c r="D4" s="166"/>
      <c r="E4" s="166"/>
      <c r="F4" s="166"/>
      <c r="G4" s="166"/>
    </row>
    <row r="5" spans="1:17" ht="16.5" thickBot="1" x14ac:dyDescent="0.3">
      <c r="A5" s="166"/>
      <c r="B5" s="166"/>
      <c r="C5" s="166"/>
      <c r="D5" s="166"/>
      <c r="E5" s="166"/>
      <c r="F5" s="166"/>
      <c r="G5" s="166"/>
    </row>
    <row r="6" spans="1:17" x14ac:dyDescent="0.25">
      <c r="A6" s="41"/>
      <c r="B6" s="41"/>
      <c r="C6" s="41"/>
      <c r="D6" s="41"/>
      <c r="E6" s="41"/>
      <c r="F6" s="41"/>
      <c r="H6" s="66"/>
      <c r="I6" s="67"/>
      <c r="J6" s="67"/>
      <c r="K6" s="67"/>
      <c r="L6" s="67"/>
      <c r="M6" s="67"/>
      <c r="N6" s="67"/>
      <c r="O6" s="67"/>
      <c r="P6" s="67"/>
      <c r="Q6" s="68"/>
    </row>
    <row r="7" spans="1:17" ht="18.75" x14ac:dyDescent="0.3">
      <c r="A7" s="24" t="s">
        <v>85</v>
      </c>
      <c r="E7" s="23"/>
      <c r="F7" s="41"/>
      <c r="H7" s="69"/>
      <c r="I7" s="24" t="s">
        <v>88</v>
      </c>
      <c r="Q7" s="70"/>
    </row>
    <row r="8" spans="1:17" x14ac:dyDescent="0.25">
      <c r="A8" s="144" t="s">
        <v>86</v>
      </c>
      <c r="B8" s="144"/>
      <c r="C8" s="144"/>
      <c r="D8" s="144"/>
      <c r="E8" s="144"/>
      <c r="F8" s="41"/>
      <c r="H8" s="69"/>
      <c r="I8" s="144" t="s">
        <v>89</v>
      </c>
      <c r="J8" s="144"/>
      <c r="K8" s="144"/>
      <c r="L8" s="144"/>
      <c r="M8" s="144"/>
      <c r="N8" s="144"/>
      <c r="O8" s="144"/>
      <c r="P8" s="144"/>
      <c r="Q8" s="70"/>
    </row>
    <row r="9" spans="1:17" ht="16.5" thickBot="1" x14ac:dyDescent="0.3">
      <c r="A9" s="144"/>
      <c r="B9" s="144"/>
      <c r="C9" s="144"/>
      <c r="D9" s="144"/>
      <c r="E9" s="144"/>
      <c r="F9" s="41"/>
      <c r="H9" s="69"/>
      <c r="I9" s="144"/>
      <c r="J9" s="144"/>
      <c r="K9" s="144"/>
      <c r="L9" s="144"/>
      <c r="M9" s="144"/>
      <c r="N9" s="144"/>
      <c r="O9" s="144"/>
      <c r="P9" s="144"/>
      <c r="Q9" s="70"/>
    </row>
    <row r="10" spans="1:17" ht="17.25" thickTop="1" thickBot="1" x14ac:dyDescent="0.3">
      <c r="A10" s="144"/>
      <c r="B10" s="144"/>
      <c r="C10" s="144"/>
      <c r="D10" s="144"/>
      <c r="E10" s="144"/>
      <c r="F10" s="41"/>
      <c r="H10" s="69"/>
      <c r="K10" s="25" t="s">
        <v>95</v>
      </c>
      <c r="L10" s="167"/>
      <c r="M10" s="168"/>
      <c r="N10" s="168"/>
      <c r="O10" s="168"/>
      <c r="P10" s="169"/>
      <c r="Q10" s="70"/>
    </row>
    <row r="11" spans="1:17" ht="19.5" thickTop="1" thickBot="1" x14ac:dyDescent="0.3">
      <c r="A11" s="21"/>
      <c r="D11" s="46" t="s">
        <v>87</v>
      </c>
      <c r="E11" s="78">
        <v>1</v>
      </c>
      <c r="F11" s="41"/>
      <c r="H11" s="69"/>
      <c r="K11" s="25" t="s">
        <v>96</v>
      </c>
      <c r="L11" s="167"/>
      <c r="M11" s="168"/>
      <c r="N11" s="168"/>
      <c r="O11" s="168"/>
      <c r="P11" s="169"/>
      <c r="Q11" s="70"/>
    </row>
    <row r="12" spans="1:17" ht="17.25" thickTop="1" thickBot="1" x14ac:dyDescent="0.3">
      <c r="A12" s="41"/>
      <c r="B12" s="41"/>
      <c r="C12" s="41"/>
      <c r="D12" s="41"/>
      <c r="E12" s="41"/>
      <c r="F12" s="41"/>
      <c r="H12" s="69"/>
      <c r="K12" s="25" t="s">
        <v>97</v>
      </c>
      <c r="L12" s="167"/>
      <c r="M12" s="168"/>
      <c r="N12" s="168"/>
      <c r="O12" s="168"/>
      <c r="P12" s="169"/>
      <c r="Q12" s="70"/>
    </row>
    <row r="13" spans="1:17" ht="16.5" thickTop="1" x14ac:dyDescent="0.25">
      <c r="A13" s="41"/>
      <c r="B13" s="41"/>
      <c r="C13" s="41"/>
      <c r="D13" s="41"/>
      <c r="E13" s="41"/>
      <c r="F13" s="41"/>
      <c r="H13" s="69"/>
      <c r="Q13" s="70"/>
    </row>
    <row r="14" spans="1:17" ht="16.5" thickBot="1" x14ac:dyDescent="0.3">
      <c r="A14" s="41"/>
      <c r="B14" s="41"/>
      <c r="C14" s="41"/>
      <c r="D14" s="41"/>
      <c r="E14" s="41"/>
      <c r="F14" s="41"/>
      <c r="H14" s="69"/>
      <c r="J14" s="25" t="s">
        <v>91</v>
      </c>
      <c r="K14" s="25"/>
      <c r="L14" s="25" t="s">
        <v>92</v>
      </c>
      <c r="M14" s="25"/>
      <c r="N14" s="25" t="s">
        <v>93</v>
      </c>
      <c r="O14" s="25"/>
      <c r="P14" s="25" t="s">
        <v>94</v>
      </c>
      <c r="Q14" s="70"/>
    </row>
    <row r="15" spans="1:17" ht="20.25" thickTop="1" thickBot="1" x14ac:dyDescent="0.35">
      <c r="A15" s="24" t="s">
        <v>112</v>
      </c>
      <c r="H15" s="69"/>
      <c r="I15" s="22" t="s">
        <v>90</v>
      </c>
      <c r="J15" s="79"/>
      <c r="L15" s="79"/>
      <c r="N15" s="79"/>
      <c r="P15" s="71" t="str">
        <f>IF(AND(OR(J15&gt;0,L15&gt;0,N15&gt;0),(J15+L15+N15)&lt;&gt;1),"ERROR",IF((J15+L15+N15)=0,"",J15+L15+N15))</f>
        <v/>
      </c>
      <c r="Q15" s="70" t="str">
        <f>IF((J15+L15+N15)=0,"",IF(J15+L15+N15&lt;&gt;1," &lt;&lt; cell MUST equal 100%",""))</f>
        <v/>
      </c>
    </row>
    <row r="16" spans="1:17" ht="19.5" thickTop="1" x14ac:dyDescent="0.3">
      <c r="A16" s="24"/>
      <c r="H16" s="69"/>
      <c r="Q16" s="70"/>
    </row>
    <row r="17" spans="1:17" x14ac:dyDescent="0.25">
      <c r="B17" s="25" t="s">
        <v>113</v>
      </c>
      <c r="C17" s="23" t="str">
        <f>'Compensation WITH PARSONAGE'!D29</f>
        <v/>
      </c>
      <c r="E17" s="47" t="str">
        <f>IF(E$11&lt;&gt;1,C17*E$11,"")</f>
        <v/>
      </c>
      <c r="H17" s="69"/>
      <c r="J17" s="72" t="str">
        <f>IF(J$15&gt;0,IF($E$11&lt;&gt;1,$E17*J$15,$C17*J$15),"")</f>
        <v/>
      </c>
      <c r="L17" s="72" t="str">
        <f>IF(L$15&gt;0,IF($E$11&lt;&gt;1,$E17*L$15,$C17*L$15),"")</f>
        <v/>
      </c>
      <c r="N17" s="72" t="str">
        <f>IF(N$15&gt;0,IF($E$11&lt;&gt;1,$E17*N$15,$C17*N$15),"")</f>
        <v/>
      </c>
      <c r="Q17" s="70"/>
    </row>
    <row r="18" spans="1:17" x14ac:dyDescent="0.25">
      <c r="B18" s="25" t="s">
        <v>201</v>
      </c>
      <c r="C18" s="23" t="str">
        <f>'Compensation WITH PARSONAGE'!D30</f>
        <v/>
      </c>
      <c r="E18" s="48"/>
      <c r="H18" s="69"/>
      <c r="J18" s="73"/>
      <c r="L18" s="73"/>
      <c r="N18" s="73"/>
      <c r="Q18" s="70"/>
    </row>
    <row r="19" spans="1:17" x14ac:dyDescent="0.25">
      <c r="B19" s="25" t="s">
        <v>202</v>
      </c>
      <c r="C19" s="23" t="str">
        <f>'Compensation WITH PARSONAGE'!D31</f>
        <v/>
      </c>
      <c r="E19" s="47" t="str">
        <f>IF(E$11&lt;&gt;1,C19*E$11,"")</f>
        <v/>
      </c>
      <c r="H19" s="69"/>
      <c r="J19" s="72" t="str">
        <f>IF(J$15&gt;0,IF($E$11&lt;&gt;1,$E19*J$15,$C19*J$15),"")</f>
        <v/>
      </c>
      <c r="L19" s="72" t="str">
        <f>IF(L$15&gt;0,IF($E$11&lt;&gt;1,$E19*L$15,$C19*L$15),"")</f>
        <v/>
      </c>
      <c r="N19" s="72" t="str">
        <f>IF(N$15&gt;0,IF($E$11&lt;&gt;1,$E19*N$15,$C19*N$15),"")</f>
        <v/>
      </c>
      <c r="Q19" s="70"/>
    </row>
    <row r="20" spans="1:17" ht="16.5" thickBot="1" x14ac:dyDescent="0.3">
      <c r="B20" s="25" t="s">
        <v>203</v>
      </c>
      <c r="C20" s="26" t="str">
        <f>'Compensation WITH PARSONAGE'!D32</f>
        <v/>
      </c>
      <c r="E20" s="49"/>
      <c r="H20" s="69"/>
      <c r="J20" s="51"/>
      <c r="L20" s="51"/>
      <c r="N20" s="51"/>
      <c r="Q20" s="70"/>
    </row>
    <row r="21" spans="1:17" ht="16.5" thickTop="1" x14ac:dyDescent="0.25">
      <c r="B21" s="27" t="s">
        <v>42</v>
      </c>
      <c r="C21" s="28">
        <f>SUM(C17:C20)</f>
        <v>0</v>
      </c>
      <c r="E21" s="50" t="str">
        <f>IF(E$11&lt;&gt;1,E17+E19,"")</f>
        <v/>
      </c>
      <c r="H21" s="69"/>
      <c r="J21" s="74">
        <f>IF(J$15&gt;0,J17+J19,)</f>
        <v>0</v>
      </c>
      <c r="L21" s="74">
        <f>IF(L$15&gt;0,L17+L19,)</f>
        <v>0</v>
      </c>
      <c r="N21" s="74">
        <f>IF(N$15&gt;0,N17+N19,)</f>
        <v>0</v>
      </c>
      <c r="P21" s="74" t="str">
        <f>IF((J15+L15+N15)=0,"",J21+L21+N21)</f>
        <v/>
      </c>
      <c r="Q21" s="70"/>
    </row>
    <row r="22" spans="1:17" x14ac:dyDescent="0.25">
      <c r="B22" s="27"/>
      <c r="H22" s="69"/>
      <c r="Q22" s="70"/>
    </row>
    <row r="23" spans="1:17" x14ac:dyDescent="0.25">
      <c r="B23" s="27"/>
      <c r="H23" s="69"/>
      <c r="Q23" s="70"/>
    </row>
    <row r="24" spans="1:17" ht="18.75" x14ac:dyDescent="0.3">
      <c r="A24" s="24" t="s">
        <v>43</v>
      </c>
      <c r="B24" s="25"/>
      <c r="H24" s="69"/>
      <c r="Q24" s="70"/>
    </row>
    <row r="25" spans="1:17" x14ac:dyDescent="0.25">
      <c r="A25" s="22" t="s">
        <v>44</v>
      </c>
      <c r="B25" s="25"/>
      <c r="H25" s="69"/>
      <c r="Q25" s="70"/>
    </row>
    <row r="26" spans="1:17" x14ac:dyDescent="0.25">
      <c r="A26" s="29" t="s">
        <v>45</v>
      </c>
      <c r="B26" s="25"/>
      <c r="H26" s="69"/>
      <c r="Q26" s="70"/>
    </row>
    <row r="27" spans="1:17" x14ac:dyDescent="0.25">
      <c r="A27" s="30" t="s">
        <v>46</v>
      </c>
      <c r="B27" s="25"/>
      <c r="H27" s="69"/>
      <c r="Q27" s="70"/>
    </row>
    <row r="28" spans="1:17" x14ac:dyDescent="0.25">
      <c r="A28" s="30"/>
      <c r="B28" s="25"/>
      <c r="H28" s="69"/>
      <c r="Q28" s="70"/>
    </row>
    <row r="29" spans="1:17" x14ac:dyDescent="0.25">
      <c r="B29" s="25" t="s">
        <v>47</v>
      </c>
      <c r="C29" s="22" t="s">
        <v>48</v>
      </c>
      <c r="H29" s="69"/>
      <c r="Q29" s="70"/>
    </row>
    <row r="30" spans="1:17" x14ac:dyDescent="0.25">
      <c r="B30" s="25" t="s">
        <v>49</v>
      </c>
      <c r="C30" s="23">
        <f>IF(E$11&lt;&gt;100%,E21,C21)</f>
        <v>0</v>
      </c>
      <c r="H30" s="69"/>
      <c r="Q30" s="70"/>
    </row>
    <row r="31" spans="1:17" x14ac:dyDescent="0.25">
      <c r="B31" s="25" t="s">
        <v>79</v>
      </c>
      <c r="C31" s="43"/>
      <c r="D31" s="23" t="s">
        <v>78</v>
      </c>
      <c r="H31" s="69"/>
      <c r="Q31" s="70"/>
    </row>
    <row r="32" spans="1:17" x14ac:dyDescent="0.25">
      <c r="H32" s="69"/>
      <c r="Q32" s="70"/>
    </row>
    <row r="33" spans="1:17" x14ac:dyDescent="0.25">
      <c r="B33" s="25" t="s">
        <v>50</v>
      </c>
      <c r="C33" s="43"/>
      <c r="H33" s="69"/>
      <c r="J33" s="72" t="str">
        <f>IF(J$15&gt;0,$C33*J$15,"")</f>
        <v/>
      </c>
      <c r="L33" s="72" t="str">
        <f>IF(L$15&gt;0,$C33*L$15,"")</f>
        <v/>
      </c>
      <c r="N33" s="72" t="str">
        <f>IF(N$15&gt;0,$C33*N$15,"")</f>
        <v/>
      </c>
      <c r="Q33" s="70"/>
    </row>
    <row r="34" spans="1:17" x14ac:dyDescent="0.25">
      <c r="B34" s="25" t="s">
        <v>51</v>
      </c>
      <c r="C34" s="43"/>
      <c r="H34" s="69"/>
      <c r="J34" s="72" t="str">
        <f>IF(J$15&gt;0,$C34*J$15,"")</f>
        <v/>
      </c>
      <c r="L34" s="72" t="str">
        <f>IF(L$15&gt;0,$C34*L$15,"")</f>
        <v/>
      </c>
      <c r="N34" s="72" t="str">
        <f>IF(N$15&gt;0,$C34*N$15,"")</f>
        <v/>
      </c>
      <c r="Q34" s="70"/>
    </row>
    <row r="35" spans="1:17" x14ac:dyDescent="0.25">
      <c r="B35" s="25" t="s">
        <v>52</v>
      </c>
      <c r="C35" s="43"/>
      <c r="H35" s="69"/>
      <c r="J35" s="72" t="str">
        <f>IF(J$15&gt;0,$C35*J$15,"")</f>
        <v/>
      </c>
      <c r="L35" s="72" t="str">
        <f>IF(L$15&gt;0,$C35*L$15,"")</f>
        <v/>
      </c>
      <c r="N35" s="72" t="str">
        <f>IF(N$15&gt;0,$C35*N$15,"")</f>
        <v/>
      </c>
      <c r="Q35" s="70"/>
    </row>
    <row r="36" spans="1:17" x14ac:dyDescent="0.25">
      <c r="B36" s="25" t="s">
        <v>77</v>
      </c>
      <c r="C36" s="44"/>
      <c r="H36" s="69"/>
      <c r="J36" s="52" t="str">
        <f>IF(J$15&gt;0,$C36*J$15,"")</f>
        <v/>
      </c>
      <c r="L36" s="52" t="str">
        <f>IF(L$15&gt;0,$C36*L$15,"")</f>
        <v/>
      </c>
      <c r="N36" s="52" t="str">
        <f>IF(N$15&gt;0,$C36*N$15,"")</f>
        <v/>
      </c>
      <c r="Q36" s="70"/>
    </row>
    <row r="37" spans="1:17" x14ac:dyDescent="0.25">
      <c r="B37" s="25" t="s">
        <v>53</v>
      </c>
      <c r="C37" s="23">
        <f>SUM(C33:C36)</f>
        <v>0</v>
      </c>
      <c r="H37" s="69"/>
      <c r="J37" s="72" t="str">
        <f>IF(J$15&gt;0,J33+J34+J35+J36,"")</f>
        <v/>
      </c>
      <c r="L37" s="72" t="str">
        <f>IF(L$15&gt;0,L33+L34+L35+L36,"")</f>
        <v/>
      </c>
      <c r="N37" s="72" t="str">
        <f>IF(N$15&gt;0,N33+N34+N35+N36,"")</f>
        <v/>
      </c>
      <c r="Q37" s="70"/>
    </row>
    <row r="38" spans="1:17" x14ac:dyDescent="0.25">
      <c r="B38" s="25"/>
      <c r="H38" s="69"/>
      <c r="Q38" s="70"/>
    </row>
    <row r="39" spans="1:17" x14ac:dyDescent="0.25">
      <c r="A39" s="22" t="s">
        <v>80</v>
      </c>
      <c r="B39" s="25"/>
      <c r="H39" s="69"/>
      <c r="Q39" s="70"/>
    </row>
    <row r="40" spans="1:17" x14ac:dyDescent="0.25">
      <c r="B40" s="45" t="s">
        <v>81</v>
      </c>
      <c r="C40" s="43"/>
      <c r="H40" s="69"/>
      <c r="J40" s="72" t="str">
        <f>IF(J$15&gt;0,$C40*J$15,"")</f>
        <v/>
      </c>
      <c r="L40" s="72" t="str">
        <f>IF(L$15&gt;0,$C40*L$15,"")</f>
        <v/>
      </c>
      <c r="N40" s="72" t="str">
        <f>IF(N$15&gt;0,$C40*N$15,"")</f>
        <v/>
      </c>
      <c r="Q40" s="70"/>
    </row>
    <row r="41" spans="1:17" x14ac:dyDescent="0.25">
      <c r="B41" s="45" t="s">
        <v>82</v>
      </c>
      <c r="C41" s="43"/>
      <c r="H41" s="69"/>
      <c r="J41" s="72" t="str">
        <f>IF(J$15&gt;0,$C41*J$15,"")</f>
        <v/>
      </c>
      <c r="L41" s="72" t="str">
        <f>IF(L$15&gt;0,$C41*L$15,"")</f>
        <v/>
      </c>
      <c r="N41" s="72" t="str">
        <f>IF(N$15&gt;0,$C41*N$15,"")</f>
        <v/>
      </c>
      <c r="Q41" s="70"/>
    </row>
    <row r="42" spans="1:17" x14ac:dyDescent="0.25">
      <c r="B42" s="45" t="s">
        <v>83</v>
      </c>
      <c r="C42" s="44"/>
      <c r="H42" s="69"/>
      <c r="J42" s="52" t="str">
        <f>IF(J$15&gt;0,$C42*J$15,"")</f>
        <v/>
      </c>
      <c r="L42" s="52" t="str">
        <f>IF(L$15&gt;0,$C42*L$15,"")</f>
        <v/>
      </c>
      <c r="N42" s="52" t="str">
        <f>IF(N$15&gt;0,$C42*N$15,"")</f>
        <v/>
      </c>
      <c r="Q42" s="70"/>
    </row>
    <row r="43" spans="1:17" x14ac:dyDescent="0.25">
      <c r="B43" s="25" t="s">
        <v>54</v>
      </c>
      <c r="C43" s="23">
        <f>C40+C41+C42</f>
        <v>0</v>
      </c>
      <c r="D43" s="33"/>
      <c r="H43" s="69"/>
      <c r="J43" s="72" t="str">
        <f>IF(J$15&gt;0,J40+J41+J42,"")</f>
        <v/>
      </c>
      <c r="L43" s="72" t="str">
        <f>IF(L$15&gt;0,L40+L41+L42,"")</f>
        <v/>
      </c>
      <c r="N43" s="72" t="str">
        <f>IF(N$15&gt;0,N40+N41+N42,"")</f>
        <v/>
      </c>
      <c r="Q43" s="70"/>
    </row>
    <row r="44" spans="1:17" x14ac:dyDescent="0.25">
      <c r="H44" s="69"/>
      <c r="Q44" s="70"/>
    </row>
    <row r="45" spans="1:17" x14ac:dyDescent="0.25">
      <c r="B45" s="27" t="s">
        <v>55</v>
      </c>
      <c r="C45" s="28">
        <f>C37+C43</f>
        <v>0</v>
      </c>
      <c r="H45" s="69"/>
      <c r="J45" s="74">
        <f>IF(J$15&gt;0,J37+J43,)</f>
        <v>0</v>
      </c>
      <c r="L45" s="74">
        <f>IF(L$15&gt;0,L37+L43,)</f>
        <v>0</v>
      </c>
      <c r="N45" s="74">
        <f>IF(N$15&gt;0,N37+N43,)</f>
        <v>0</v>
      </c>
      <c r="P45" s="74" t="str">
        <f>IF((J15+L15+N15)=0,"",J45+L45+N45)</f>
        <v/>
      </c>
      <c r="Q45" s="70"/>
    </row>
    <row r="46" spans="1:17" x14ac:dyDescent="0.25">
      <c r="H46" s="69"/>
      <c r="Q46" s="70"/>
    </row>
    <row r="47" spans="1:17" x14ac:dyDescent="0.25">
      <c r="H47" s="69"/>
      <c r="Q47" s="70"/>
    </row>
    <row r="48" spans="1:17" ht="18.75" x14ac:dyDescent="0.3">
      <c r="A48" s="24" t="s">
        <v>56</v>
      </c>
      <c r="H48" s="69"/>
      <c r="Q48" s="70"/>
    </row>
    <row r="49" spans="1:17" x14ac:dyDescent="0.25">
      <c r="B49" s="25" t="s">
        <v>57</v>
      </c>
      <c r="C49" s="43"/>
      <c r="D49" s="23" t="s">
        <v>65</v>
      </c>
      <c r="H49" s="69"/>
      <c r="J49" s="72" t="str">
        <f>IF(J$15&gt;0,$C49*J$15,"")</f>
        <v/>
      </c>
      <c r="L49" s="72" t="str">
        <f>IF(L$15&gt;0,$C49*L$15,"")</f>
        <v/>
      </c>
      <c r="N49" s="72" t="str">
        <f>IF(N$15&gt;0,$C49*N$15,"")</f>
        <v/>
      </c>
      <c r="Q49" s="70"/>
    </row>
    <row r="50" spans="1:17" x14ac:dyDescent="0.25">
      <c r="B50" s="25" t="s">
        <v>58</v>
      </c>
      <c r="C50" s="43"/>
      <c r="H50" s="69"/>
      <c r="J50" s="72" t="str">
        <f>IF(J$15&gt;0,$C50*J$15,"")</f>
        <v/>
      </c>
      <c r="L50" s="72" t="str">
        <f>IF(L$15&gt;0,$C50*L$15,"")</f>
        <v/>
      </c>
      <c r="N50" s="72" t="str">
        <f>IF(N$15&gt;0,$C50*N$15,"")</f>
        <v/>
      </c>
      <c r="Q50" s="70"/>
    </row>
    <row r="51" spans="1:17" x14ac:dyDescent="0.25">
      <c r="B51" s="25" t="s">
        <v>59</v>
      </c>
      <c r="C51" s="43"/>
      <c r="D51" s="23" t="s">
        <v>66</v>
      </c>
      <c r="H51" s="69"/>
      <c r="J51" s="72" t="str">
        <f>IF(J$15&gt;0,$C51*J$15,"")</f>
        <v/>
      </c>
      <c r="L51" s="72" t="str">
        <f>IF(L$15&gt;0,$C51*L$15,"")</f>
        <v/>
      </c>
      <c r="N51" s="72" t="str">
        <f>IF(N$15&gt;0,$C51*N$15,"")</f>
        <v/>
      </c>
      <c r="Q51" s="70"/>
    </row>
    <row r="52" spans="1:17" x14ac:dyDescent="0.25">
      <c r="B52" s="25" t="s">
        <v>60</v>
      </c>
      <c r="C52" s="43"/>
      <c r="H52" s="69"/>
      <c r="J52" s="72" t="str">
        <f>IF(J$15&gt;0,$C52*J$15,"")</f>
        <v/>
      </c>
      <c r="L52" s="72" t="str">
        <f>IF(L$15&gt;0,$C52*L$15,"")</f>
        <v/>
      </c>
      <c r="N52" s="72" t="str">
        <f>IF(N$15&gt;0,$C52*N$15,"")</f>
        <v/>
      </c>
      <c r="Q52" s="70"/>
    </row>
    <row r="53" spans="1:17" x14ac:dyDescent="0.25">
      <c r="B53" s="25" t="s">
        <v>56</v>
      </c>
      <c r="C53" s="43"/>
      <c r="H53" s="69"/>
      <c r="J53" s="72" t="str">
        <f>IF(J$15&gt;0,$C53*J$15,"")</f>
        <v/>
      </c>
      <c r="L53" s="72" t="str">
        <f>IF(L$15&gt;0,$C53*L$15,"")</f>
        <v/>
      </c>
      <c r="N53" s="72" t="str">
        <f>IF(N$15&gt;0,$C53*N$15,"")</f>
        <v/>
      </c>
      <c r="Q53" s="70"/>
    </row>
    <row r="54" spans="1:17" x14ac:dyDescent="0.25">
      <c r="C54" s="22"/>
      <c r="H54" s="69"/>
      <c r="Q54" s="70"/>
    </row>
    <row r="55" spans="1:17" x14ac:dyDescent="0.25">
      <c r="B55" s="27" t="s">
        <v>61</v>
      </c>
      <c r="C55" s="28">
        <f>SUM(C49:C53)</f>
        <v>0</v>
      </c>
      <c r="H55" s="69"/>
      <c r="J55" s="74">
        <f>IF(J$15&gt;0,J49+J50+J51+J52+J53,)</f>
        <v>0</v>
      </c>
      <c r="L55" s="74">
        <f>IF(L$15&gt;0,L49+L50+L51+L52+L53,)</f>
        <v>0</v>
      </c>
      <c r="N55" s="74">
        <f>IF(N$15&gt;0,N49+N50+N51+N52+N53,)</f>
        <v>0</v>
      </c>
      <c r="P55" s="74" t="str">
        <f>IF((J15+L15+N15)=0,"",J55+L55+N55)</f>
        <v/>
      </c>
      <c r="Q55" s="70"/>
    </row>
    <row r="56" spans="1:17" x14ac:dyDescent="0.25">
      <c r="H56" s="69"/>
      <c r="Q56" s="70"/>
    </row>
    <row r="57" spans="1:17" ht="16.5" thickBot="1" x14ac:dyDescent="0.3">
      <c r="C57" s="31"/>
      <c r="H57" s="69"/>
      <c r="J57" s="31"/>
      <c r="L57" s="31"/>
      <c r="N57" s="31"/>
      <c r="P57" s="31"/>
      <c r="Q57" s="70"/>
    </row>
    <row r="58" spans="1:17" x14ac:dyDescent="0.25">
      <c r="A58" s="32" t="s">
        <v>62</v>
      </c>
      <c r="C58" s="28">
        <f>IF(E11&lt;&gt;1,E21+C45+C55,C21+C45+C55)</f>
        <v>0</v>
      </c>
      <c r="H58" s="69"/>
      <c r="J58" s="74">
        <f>IF(J$15&gt;0,J21+J45+J55,)</f>
        <v>0</v>
      </c>
      <c r="L58" s="74">
        <f>IF(L$15&gt;0,L21+L45+L55,)</f>
        <v>0</v>
      </c>
      <c r="N58" s="74">
        <f>IF(N$15&gt;0,N21+N45+N55,)</f>
        <v>0</v>
      </c>
      <c r="P58" s="74" t="str">
        <f>IF((J15+L15+N15)=0,"",J58+L58+N58)</f>
        <v/>
      </c>
      <c r="Q58" s="70"/>
    </row>
    <row r="59" spans="1:17" ht="16.5" thickBot="1" x14ac:dyDescent="0.3">
      <c r="A59" s="32" t="s">
        <v>63</v>
      </c>
      <c r="H59" s="75"/>
      <c r="I59" s="76"/>
      <c r="J59" s="76"/>
      <c r="K59" s="76"/>
      <c r="L59" s="76"/>
      <c r="M59" s="76"/>
      <c r="N59" s="76"/>
      <c r="O59" s="76"/>
      <c r="P59" s="76"/>
      <c r="Q59" s="77"/>
    </row>
  </sheetData>
  <mergeCells count="6">
    <mergeCell ref="A2:G5"/>
    <mergeCell ref="L11:P11"/>
    <mergeCell ref="L12:P12"/>
    <mergeCell ref="A8:E10"/>
    <mergeCell ref="I8:P9"/>
    <mergeCell ref="L10:P10"/>
  </mergeCells>
  <hyperlinks>
    <hyperlink ref="A26" r:id="rId1" location="/" xr:uid="{28F7059C-690D-4E13-8559-55C56CFC8BC7}"/>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2F6A-81D8-460B-A6AE-FBCA0481D980}">
  <sheetPr>
    <tabColor rgb="FFCCCCFF"/>
  </sheetPr>
  <dimension ref="A1:C36"/>
  <sheetViews>
    <sheetView workbookViewId="0">
      <selection activeCell="L1" sqref="L1"/>
    </sheetView>
  </sheetViews>
  <sheetFormatPr defaultRowHeight="18.75" x14ac:dyDescent="0.3"/>
  <cols>
    <col min="1" max="1" width="9.140625" style="24"/>
    <col min="2" max="2" width="11.42578125" style="35" bestFit="1" customWidth="1"/>
    <col min="3" max="16384" width="9.140625" style="36"/>
  </cols>
  <sheetData>
    <row r="1" spans="1:3" ht="23.25" x14ac:dyDescent="0.35">
      <c r="A1" s="82" t="s">
        <v>67</v>
      </c>
    </row>
    <row r="3" spans="1:3" ht="21" x14ac:dyDescent="0.35">
      <c r="A3" s="37" t="s">
        <v>76</v>
      </c>
    </row>
    <row r="4" spans="1:3" x14ac:dyDescent="0.3">
      <c r="B4" s="36"/>
    </row>
    <row r="5" spans="1:3" x14ac:dyDescent="0.3">
      <c r="B5" s="35" t="str">
        <f>IF('Benefits &amp; Expenses'!E$11&lt;&gt;1,'Benefits &amp; Expenses'!E17,'Benefits &amp; Expenses'!C17)</f>
        <v/>
      </c>
      <c r="C5" s="36" t="s">
        <v>40</v>
      </c>
    </row>
    <row r="6" spans="1:3" x14ac:dyDescent="0.3">
      <c r="B6" s="35" t="str">
        <f>IF('Benefits &amp; Expenses'!E$11&lt;&gt;1,'Benefits &amp; Expenses'!E18,'Benefits &amp; Expenses'!C18)</f>
        <v/>
      </c>
      <c r="C6" s="36" t="s">
        <v>196</v>
      </c>
    </row>
    <row r="7" spans="1:3" x14ac:dyDescent="0.3">
      <c r="B7" s="35" t="str">
        <f>IF('Benefits &amp; Expenses'!E$11&lt;&gt;1,'Benefits &amp; Expenses'!E19,'Benefits &amp; Expenses'!C19)</f>
        <v/>
      </c>
      <c r="C7" s="36" t="s">
        <v>202</v>
      </c>
    </row>
    <row r="8" spans="1:3" x14ac:dyDescent="0.3">
      <c r="B8" s="38"/>
    </row>
    <row r="9" spans="1:3" x14ac:dyDescent="0.3">
      <c r="B9" s="39" t="str">
        <f>IF(ISNUMBER(B5),B5+B6+B7,"")</f>
        <v/>
      </c>
      <c r="C9" s="24" t="s">
        <v>68</v>
      </c>
    </row>
    <row r="11" spans="1:3" x14ac:dyDescent="0.3">
      <c r="B11" s="39" t="str">
        <f>'Compensation WITH PARSONAGE'!D39</f>
        <v/>
      </c>
      <c r="C11" s="24" t="s">
        <v>209</v>
      </c>
    </row>
    <row r="14" spans="1:3" ht="21" x14ac:dyDescent="0.35">
      <c r="A14" s="37" t="s">
        <v>84</v>
      </c>
    </row>
    <row r="15" spans="1:3" x14ac:dyDescent="0.3">
      <c r="B15" s="35">
        <f>'Benefits &amp; Expenses'!C33</f>
        <v>0</v>
      </c>
      <c r="C15" s="36" t="s">
        <v>50</v>
      </c>
    </row>
    <row r="16" spans="1:3" x14ac:dyDescent="0.3">
      <c r="B16" s="35">
        <f>'Benefits &amp; Expenses'!C34</f>
        <v>0</v>
      </c>
      <c r="C16" s="36" t="s">
        <v>51</v>
      </c>
    </row>
    <row r="17" spans="1:3" x14ac:dyDescent="0.3">
      <c r="B17" s="35">
        <f>'Benefits &amp; Expenses'!C35</f>
        <v>0</v>
      </c>
      <c r="C17" s="36" t="s">
        <v>52</v>
      </c>
    </row>
    <row r="18" spans="1:3" x14ac:dyDescent="0.3">
      <c r="B18" s="38">
        <f>'Benefits &amp; Expenses'!C36</f>
        <v>0</v>
      </c>
      <c r="C18" s="36" t="s">
        <v>77</v>
      </c>
    </row>
    <row r="19" spans="1:3" x14ac:dyDescent="0.3">
      <c r="B19" s="35">
        <f>SUM(B15:B18)</f>
        <v>0</v>
      </c>
      <c r="C19" s="36" t="s">
        <v>69</v>
      </c>
    </row>
    <row r="21" spans="1:3" x14ac:dyDescent="0.3">
      <c r="B21" s="35">
        <f>'Benefits &amp; Expenses'!C43</f>
        <v>0</v>
      </c>
      <c r="C21" s="36" t="s">
        <v>70</v>
      </c>
    </row>
    <row r="23" spans="1:3" x14ac:dyDescent="0.3">
      <c r="B23" s="39">
        <f>B19+B21</f>
        <v>0</v>
      </c>
      <c r="C23" s="24" t="s">
        <v>71</v>
      </c>
    </row>
    <row r="26" spans="1:3" ht="21" x14ac:dyDescent="0.35">
      <c r="A26" s="37" t="s">
        <v>72</v>
      </c>
    </row>
    <row r="27" spans="1:3" x14ac:dyDescent="0.3">
      <c r="B27" s="35">
        <f>'Benefits &amp; Expenses'!C49</f>
        <v>0</v>
      </c>
      <c r="C27" s="36" t="s">
        <v>57</v>
      </c>
    </row>
    <row r="28" spans="1:3" x14ac:dyDescent="0.3">
      <c r="B28" s="35">
        <f>'Benefits &amp; Expenses'!C50</f>
        <v>0</v>
      </c>
      <c r="C28" s="36" t="s">
        <v>58</v>
      </c>
    </row>
    <row r="29" spans="1:3" x14ac:dyDescent="0.3">
      <c r="B29" s="35">
        <f>'Benefits &amp; Expenses'!C51</f>
        <v>0</v>
      </c>
      <c r="C29" s="36" t="s">
        <v>59</v>
      </c>
    </row>
    <row r="30" spans="1:3" x14ac:dyDescent="0.3">
      <c r="B30" s="35">
        <f>'Benefits &amp; Expenses'!C52</f>
        <v>0</v>
      </c>
      <c r="C30" s="36" t="s">
        <v>60</v>
      </c>
    </row>
    <row r="31" spans="1:3" x14ac:dyDescent="0.3">
      <c r="B31" s="35">
        <f>'Benefits &amp; Expenses'!C53</f>
        <v>0</v>
      </c>
      <c r="C31" s="36" t="s">
        <v>73</v>
      </c>
    </row>
    <row r="33" spans="2:3" x14ac:dyDescent="0.3">
      <c r="B33" s="39">
        <f>SUM(B27:B31)</f>
        <v>0</v>
      </c>
      <c r="C33" s="24" t="s">
        <v>74</v>
      </c>
    </row>
    <row r="35" spans="2:3" ht="19.5" thickBot="1" x14ac:dyDescent="0.35">
      <c r="B35" s="61"/>
    </row>
    <row r="36" spans="2:3" ht="21.75" thickTop="1" x14ac:dyDescent="0.35">
      <c r="B36" s="40" t="e">
        <f>B9+B23+B33</f>
        <v>#VALUE!</v>
      </c>
      <c r="C36" s="37" t="s">
        <v>75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D29F-3CEF-462C-8FAB-977125DDC9B3}">
  <sheetPr>
    <tabColor rgb="FFFFCC99"/>
    <pageSetUpPr fitToPage="1"/>
  </sheetPr>
  <dimension ref="A1:L42"/>
  <sheetViews>
    <sheetView workbookViewId="0">
      <selection activeCell="O1" sqref="O1"/>
    </sheetView>
  </sheetViews>
  <sheetFormatPr defaultRowHeight="18.75" x14ac:dyDescent="0.3"/>
  <cols>
    <col min="1" max="1" width="9.140625" style="24"/>
    <col min="2" max="2" width="26.140625" style="36" customWidth="1"/>
    <col min="3" max="3" width="2.7109375" style="36" customWidth="1"/>
    <col min="4" max="4" width="10" style="36" customWidth="1"/>
    <col min="5" max="5" width="5.140625" style="36" customWidth="1"/>
    <col min="6" max="6" width="10" style="36" customWidth="1"/>
    <col min="7" max="7" width="5.140625" style="36" customWidth="1"/>
    <col min="8" max="8" width="10" style="36" customWidth="1"/>
    <col min="9" max="9" width="5.140625" style="36" customWidth="1"/>
    <col min="10" max="10" width="10" style="36" customWidth="1"/>
    <col min="11" max="11" width="5.140625" style="36" customWidth="1"/>
    <col min="12" max="12" width="10" style="36" customWidth="1"/>
    <col min="13" max="16384" width="9.140625" style="36"/>
  </cols>
  <sheetData>
    <row r="1" spans="1:12" ht="23.25" x14ac:dyDescent="0.35">
      <c r="A1" s="82" t="s">
        <v>67</v>
      </c>
    </row>
    <row r="2" spans="1:12" ht="13.5" customHeight="1" x14ac:dyDescent="0.35">
      <c r="A2" s="34"/>
    </row>
    <row r="3" spans="1:12" ht="23.25" x14ac:dyDescent="0.35">
      <c r="A3" s="34"/>
      <c r="D3" s="65">
        <f>'Benefits &amp; Expenses'!L10</f>
        <v>0</v>
      </c>
      <c r="E3" s="63"/>
      <c r="F3" s="63"/>
      <c r="G3" s="63"/>
      <c r="H3" s="64"/>
    </row>
    <row r="4" spans="1:12" ht="13.5" customHeight="1" x14ac:dyDescent="0.35">
      <c r="A4" s="34"/>
      <c r="D4" s="56"/>
    </row>
    <row r="5" spans="1:12" ht="23.25" x14ac:dyDescent="0.35">
      <c r="A5" s="34"/>
      <c r="D5" s="56"/>
      <c r="F5" s="65">
        <f>'Benefits &amp; Expenses'!L11</f>
        <v>0</v>
      </c>
      <c r="G5" s="63"/>
      <c r="H5" s="63"/>
      <c r="I5" s="63"/>
      <c r="J5" s="64"/>
    </row>
    <row r="6" spans="1:12" ht="13.5" customHeight="1" x14ac:dyDescent="0.35">
      <c r="A6" s="34"/>
      <c r="D6" s="56"/>
      <c r="F6" s="56"/>
    </row>
    <row r="7" spans="1:12" ht="23.25" x14ac:dyDescent="0.35">
      <c r="A7" s="34"/>
      <c r="D7" s="56"/>
      <c r="F7" s="56"/>
      <c r="H7" s="65">
        <f>'Benefits &amp; Expenses'!L12</f>
        <v>0</v>
      </c>
      <c r="I7" s="63"/>
      <c r="J7" s="63"/>
      <c r="K7" s="63"/>
      <c r="L7" s="64"/>
    </row>
    <row r="8" spans="1:12" ht="13.5" customHeight="1" x14ac:dyDescent="0.35">
      <c r="A8" s="34"/>
      <c r="D8" s="56"/>
      <c r="F8" s="56"/>
      <c r="H8" s="56"/>
    </row>
    <row r="9" spans="1:12" ht="23.25" x14ac:dyDescent="0.35">
      <c r="A9" s="34"/>
      <c r="B9" s="53" t="s">
        <v>98</v>
      </c>
      <c r="D9" s="57">
        <f>'Benefits &amp; Expenses'!J15</f>
        <v>0</v>
      </c>
      <c r="F9" s="57">
        <f>'Benefits &amp; Expenses'!L15</f>
        <v>0</v>
      </c>
      <c r="H9" s="57">
        <f>'Benefits &amp; Expenses'!N15</f>
        <v>0</v>
      </c>
      <c r="J9" s="54" t="s">
        <v>94</v>
      </c>
    </row>
    <row r="10" spans="1:12" x14ac:dyDescent="0.3">
      <c r="D10" s="56"/>
      <c r="F10" s="56"/>
      <c r="H10" s="56"/>
    </row>
    <row r="11" spans="1:12" ht="21" x14ac:dyDescent="0.35">
      <c r="A11" s="37" t="s">
        <v>104</v>
      </c>
      <c r="D11" s="56"/>
      <c r="F11" s="56"/>
      <c r="H11" s="56"/>
    </row>
    <row r="12" spans="1:12" ht="21" x14ac:dyDescent="0.35">
      <c r="A12" s="37" t="s">
        <v>105</v>
      </c>
      <c r="D12" s="56"/>
      <c r="F12" s="56"/>
      <c r="H12" s="56"/>
    </row>
    <row r="13" spans="1:12" x14ac:dyDescent="0.3">
      <c r="D13" s="56"/>
      <c r="F13" s="56"/>
      <c r="H13" s="56"/>
    </row>
    <row r="14" spans="1:12" x14ac:dyDescent="0.3">
      <c r="B14" s="53" t="s">
        <v>40</v>
      </c>
      <c r="D14" s="58" t="str">
        <f>'Benefits &amp; Expenses'!J17</f>
        <v/>
      </c>
      <c r="F14" s="58" t="str">
        <f>'Benefits &amp; Expenses'!L17</f>
        <v/>
      </c>
      <c r="H14" s="58" t="str">
        <f>'Benefits &amp; Expenses'!N17</f>
        <v/>
      </c>
      <c r="J14" s="35" t="str">
        <f>IF('Benefits &amp; Expenses'!E$11&lt;&gt;1,'Benefits &amp; Expenses'!E17,'Benefits &amp; Expenses'!C17)</f>
        <v/>
      </c>
    </row>
    <row r="15" spans="1:12" x14ac:dyDescent="0.3">
      <c r="B15" s="53"/>
      <c r="D15" s="56"/>
      <c r="F15" s="56"/>
      <c r="H15" s="56"/>
      <c r="J15" s="35"/>
    </row>
    <row r="16" spans="1:12" x14ac:dyDescent="0.3">
      <c r="B16" s="53" t="s">
        <v>103</v>
      </c>
      <c r="D16" s="58" t="str">
        <f>'Benefits &amp; Expenses'!J19</f>
        <v/>
      </c>
      <c r="F16" s="58" t="str">
        <f>'Benefits &amp; Expenses'!L19</f>
        <v/>
      </c>
      <c r="H16" s="58" t="str">
        <f>'Benefits &amp; Expenses'!N19</f>
        <v/>
      </c>
      <c r="J16" s="35" t="str">
        <f>IF('Benefits &amp; Expenses'!E$11&lt;&gt;1,'Benefits &amp; Expenses'!E19,'Benefits &amp; Expenses'!C19)</f>
        <v/>
      </c>
    </row>
    <row r="17" spans="1:10" x14ac:dyDescent="0.3">
      <c r="B17" s="53"/>
      <c r="D17" s="56"/>
      <c r="F17" s="56"/>
      <c r="H17" s="56"/>
      <c r="J17" s="38"/>
    </row>
    <row r="18" spans="1:10" x14ac:dyDescent="0.3">
      <c r="B18" s="54" t="s">
        <v>68</v>
      </c>
      <c r="D18" s="59">
        <f>SUM(D14:D17)</f>
        <v>0</v>
      </c>
      <c r="F18" s="59">
        <f>SUM(F14:F17)</f>
        <v>0</v>
      </c>
      <c r="H18" s="59">
        <f>SUM(H14:H17)</f>
        <v>0</v>
      </c>
      <c r="J18" s="39" t="e">
        <f>J14+J16</f>
        <v>#VALUE!</v>
      </c>
    </row>
    <row r="19" spans="1:10" x14ac:dyDescent="0.3">
      <c r="B19" s="53"/>
      <c r="D19" s="56"/>
      <c r="F19" s="56"/>
      <c r="H19" s="56"/>
      <c r="J19" s="35"/>
    </row>
    <row r="20" spans="1:10" ht="21" x14ac:dyDescent="0.35">
      <c r="A20" s="37" t="s">
        <v>101</v>
      </c>
      <c r="B20" s="53"/>
      <c r="D20" s="56"/>
      <c r="F20" s="56"/>
      <c r="H20" s="56"/>
      <c r="J20" s="35"/>
    </row>
    <row r="21" spans="1:10" ht="21" x14ac:dyDescent="0.35">
      <c r="A21" s="37" t="s">
        <v>102</v>
      </c>
      <c r="B21" s="53"/>
      <c r="D21" s="56"/>
      <c r="F21" s="56"/>
      <c r="H21" s="56"/>
      <c r="J21" s="35"/>
    </row>
    <row r="22" spans="1:10" x14ac:dyDescent="0.3">
      <c r="B22" s="53" t="s">
        <v>50</v>
      </c>
      <c r="D22" s="58" t="str">
        <f>'Benefits &amp; Expenses'!J33</f>
        <v/>
      </c>
      <c r="F22" s="58" t="str">
        <f>'Benefits &amp; Expenses'!L33</f>
        <v/>
      </c>
      <c r="H22" s="58" t="str">
        <f>'Benefits &amp; Expenses'!N33</f>
        <v/>
      </c>
      <c r="J22" s="35">
        <f>'Benefits &amp; Expenses'!C33</f>
        <v>0</v>
      </c>
    </row>
    <row r="23" spans="1:10" x14ac:dyDescent="0.3">
      <c r="B23" s="53" t="s">
        <v>51</v>
      </c>
      <c r="D23" s="58" t="str">
        <f>'Benefits &amp; Expenses'!J34</f>
        <v/>
      </c>
      <c r="F23" s="58" t="str">
        <f>'Benefits &amp; Expenses'!L34</f>
        <v/>
      </c>
      <c r="H23" s="58" t="str">
        <f>'Benefits &amp; Expenses'!N34</f>
        <v/>
      </c>
      <c r="J23" s="35">
        <f>'Benefits &amp; Expenses'!C34</f>
        <v>0</v>
      </c>
    </row>
    <row r="24" spans="1:10" x14ac:dyDescent="0.3">
      <c r="B24" s="53" t="s">
        <v>52</v>
      </c>
      <c r="D24" s="58" t="str">
        <f>'Benefits &amp; Expenses'!J35</f>
        <v/>
      </c>
      <c r="F24" s="58" t="str">
        <f>'Benefits &amp; Expenses'!L35</f>
        <v/>
      </c>
      <c r="H24" s="58" t="str">
        <f>'Benefits &amp; Expenses'!N35</f>
        <v/>
      </c>
      <c r="J24" s="35">
        <f>'Benefits &amp; Expenses'!C35</f>
        <v>0</v>
      </c>
    </row>
    <row r="25" spans="1:10" x14ac:dyDescent="0.3">
      <c r="B25" s="53" t="s">
        <v>77</v>
      </c>
      <c r="D25" s="58" t="str">
        <f>'Benefits &amp; Expenses'!J36</f>
        <v/>
      </c>
      <c r="F25" s="58" t="str">
        <f>'Benefits &amp; Expenses'!L36</f>
        <v/>
      </c>
      <c r="H25" s="58" t="str">
        <f>'Benefits &amp; Expenses'!N36</f>
        <v/>
      </c>
      <c r="J25" s="38">
        <f>'Benefits &amp; Expenses'!C36</f>
        <v>0</v>
      </c>
    </row>
    <row r="26" spans="1:10" x14ac:dyDescent="0.3">
      <c r="B26" s="53" t="s">
        <v>69</v>
      </c>
      <c r="D26" s="58" t="str">
        <f>'Benefits &amp; Expenses'!J37</f>
        <v/>
      </c>
      <c r="F26" s="58" t="str">
        <f>'Benefits &amp; Expenses'!L37</f>
        <v/>
      </c>
      <c r="H26" s="58" t="str">
        <f>'Benefits &amp; Expenses'!N37</f>
        <v/>
      </c>
      <c r="J26" s="35">
        <f>SUM(J22:J25)</f>
        <v>0</v>
      </c>
    </row>
    <row r="27" spans="1:10" x14ac:dyDescent="0.3">
      <c r="B27" s="53"/>
      <c r="D27" s="56"/>
      <c r="F27" s="56"/>
      <c r="H27" s="56"/>
      <c r="J27" s="35"/>
    </row>
    <row r="28" spans="1:10" x14ac:dyDescent="0.3">
      <c r="B28" s="53" t="s">
        <v>70</v>
      </c>
      <c r="D28" s="58" t="str">
        <f>'Benefits &amp; Expenses'!J43</f>
        <v/>
      </c>
      <c r="F28" s="58" t="str">
        <f>'Benefits &amp; Expenses'!L43</f>
        <v/>
      </c>
      <c r="H28" s="58" t="str">
        <f>'Benefits &amp; Expenses'!N43</f>
        <v/>
      </c>
      <c r="J28" s="35">
        <f>'Benefits &amp; Expenses'!C43</f>
        <v>0</v>
      </c>
    </row>
    <row r="29" spans="1:10" x14ac:dyDescent="0.3">
      <c r="B29" s="53"/>
      <c r="D29" s="56"/>
      <c r="F29" s="56"/>
      <c r="H29" s="56"/>
      <c r="J29" s="35"/>
    </row>
    <row r="30" spans="1:10" x14ac:dyDescent="0.3">
      <c r="B30" s="54" t="s">
        <v>71</v>
      </c>
      <c r="D30" s="59">
        <f>SUM(D22:D29)</f>
        <v>0</v>
      </c>
      <c r="F30" s="59">
        <f>SUM(F22:F29)</f>
        <v>0</v>
      </c>
      <c r="H30" s="59">
        <f>SUM(H22:H29)</f>
        <v>0</v>
      </c>
      <c r="J30" s="39">
        <f>J26+J28</f>
        <v>0</v>
      </c>
    </row>
    <row r="31" spans="1:10" x14ac:dyDescent="0.3">
      <c r="B31" s="53"/>
      <c r="D31" s="56"/>
      <c r="F31" s="56"/>
      <c r="H31" s="56"/>
      <c r="J31" s="35"/>
    </row>
    <row r="32" spans="1:10" ht="21" x14ac:dyDescent="0.35">
      <c r="A32" s="37" t="s">
        <v>72</v>
      </c>
      <c r="B32" s="53"/>
      <c r="D32" s="56"/>
      <c r="F32" s="56"/>
      <c r="H32" s="56"/>
      <c r="J32" s="35"/>
    </row>
    <row r="33" spans="2:10" x14ac:dyDescent="0.3">
      <c r="B33" s="53" t="s">
        <v>57</v>
      </c>
      <c r="D33" s="58" t="str">
        <f>'Benefits &amp; Expenses'!J49</f>
        <v/>
      </c>
      <c r="F33" s="58" t="str">
        <f>'Benefits &amp; Expenses'!L49</f>
        <v/>
      </c>
      <c r="H33" s="58" t="str">
        <f>'Benefits &amp; Expenses'!N49</f>
        <v/>
      </c>
      <c r="J33" s="35">
        <f>'Benefits &amp; Expenses'!C49</f>
        <v>0</v>
      </c>
    </row>
    <row r="34" spans="2:10" x14ac:dyDescent="0.3">
      <c r="B34" s="53" t="s">
        <v>58</v>
      </c>
      <c r="D34" s="58" t="str">
        <f>'Benefits &amp; Expenses'!J50</f>
        <v/>
      </c>
      <c r="F34" s="58" t="str">
        <f>'Benefits &amp; Expenses'!L50</f>
        <v/>
      </c>
      <c r="H34" s="58" t="str">
        <f>'Benefits &amp; Expenses'!N50</f>
        <v/>
      </c>
      <c r="J34" s="35">
        <f>'Benefits &amp; Expenses'!C50</f>
        <v>0</v>
      </c>
    </row>
    <row r="35" spans="2:10" x14ac:dyDescent="0.3">
      <c r="B35" s="53" t="s">
        <v>59</v>
      </c>
      <c r="D35" s="58" t="str">
        <f>'Benefits &amp; Expenses'!J51</f>
        <v/>
      </c>
      <c r="F35" s="58" t="str">
        <f>'Benefits &amp; Expenses'!L51</f>
        <v/>
      </c>
      <c r="H35" s="58" t="str">
        <f>'Benefits &amp; Expenses'!N51</f>
        <v/>
      </c>
      <c r="J35" s="35">
        <f>'Benefits &amp; Expenses'!C51</f>
        <v>0</v>
      </c>
    </row>
    <row r="36" spans="2:10" x14ac:dyDescent="0.3">
      <c r="B36" s="53" t="s">
        <v>60</v>
      </c>
      <c r="D36" s="58" t="str">
        <f>'Benefits &amp; Expenses'!J52</f>
        <v/>
      </c>
      <c r="F36" s="58" t="str">
        <f>'Benefits &amp; Expenses'!L52</f>
        <v/>
      </c>
      <c r="H36" s="58" t="str">
        <f>'Benefits &amp; Expenses'!N52</f>
        <v/>
      </c>
      <c r="J36" s="35">
        <f>'Benefits &amp; Expenses'!C52</f>
        <v>0</v>
      </c>
    </row>
    <row r="37" spans="2:10" x14ac:dyDescent="0.3">
      <c r="B37" s="53" t="s">
        <v>73</v>
      </c>
      <c r="D37" s="58" t="str">
        <f>'Benefits &amp; Expenses'!J53</f>
        <v/>
      </c>
      <c r="F37" s="58" t="str">
        <f>'Benefits &amp; Expenses'!L53</f>
        <v/>
      </c>
      <c r="H37" s="58" t="str">
        <f>'Benefits &amp; Expenses'!N53</f>
        <v/>
      </c>
      <c r="J37" s="35">
        <f>'Benefits &amp; Expenses'!C53</f>
        <v>0</v>
      </c>
    </row>
    <row r="38" spans="2:10" x14ac:dyDescent="0.3">
      <c r="B38" s="53"/>
      <c r="D38" s="56"/>
      <c r="F38" s="56"/>
      <c r="H38" s="56"/>
      <c r="J38" s="35"/>
    </row>
    <row r="39" spans="2:10" x14ac:dyDescent="0.3">
      <c r="B39" s="54" t="s">
        <v>74</v>
      </c>
      <c r="D39" s="59">
        <f>SUM(D33:D38)</f>
        <v>0</v>
      </c>
      <c r="F39" s="59">
        <f>SUM(F33:F38)</f>
        <v>0</v>
      </c>
      <c r="H39" s="59">
        <f>SUM(H33:H38)</f>
        <v>0</v>
      </c>
      <c r="J39" s="39">
        <f>SUM(J33:J37)</f>
        <v>0</v>
      </c>
    </row>
    <row r="40" spans="2:10" x14ac:dyDescent="0.3">
      <c r="B40" s="53"/>
      <c r="D40" s="56"/>
      <c r="F40" s="56"/>
      <c r="H40" s="56"/>
      <c r="J40" s="35"/>
    </row>
    <row r="41" spans="2:10" ht="21.75" thickBot="1" x14ac:dyDescent="0.4">
      <c r="B41" s="55" t="s">
        <v>99</v>
      </c>
      <c r="D41" s="62"/>
      <c r="F41" s="62"/>
      <c r="H41" s="62"/>
      <c r="J41" s="80"/>
    </row>
    <row r="42" spans="2:10" ht="21.75" thickTop="1" x14ac:dyDescent="0.35">
      <c r="B42" s="55" t="s">
        <v>100</v>
      </c>
      <c r="D42" s="60">
        <f>D39+D30+D18</f>
        <v>0</v>
      </c>
      <c r="F42" s="60">
        <f>F39+F30+F18</f>
        <v>0</v>
      </c>
      <c r="H42" s="60">
        <f>H39+H30+H18</f>
        <v>0</v>
      </c>
      <c r="J42" s="39" t="e">
        <f>J18+J30+J39</f>
        <v>#VALUE!</v>
      </c>
    </row>
  </sheetData>
  <pageMargins left="0.7" right="0.7" top="0.75" bottom="0.75" header="0.3" footer="0.3"/>
  <pageSetup scale="8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FB212-A5CB-4339-926F-84CC318A780B}">
  <sheetPr>
    <tabColor rgb="FFFF0000"/>
  </sheetPr>
  <dimension ref="A1:Q33"/>
  <sheetViews>
    <sheetView workbookViewId="0">
      <selection activeCell="A3" sqref="A3"/>
    </sheetView>
  </sheetViews>
  <sheetFormatPr defaultRowHeight="15.75" x14ac:dyDescent="0.25"/>
  <cols>
    <col min="1" max="1" width="12.140625" style="88" bestFit="1" customWidth="1"/>
    <col min="2" max="2" width="95.7109375" style="81" customWidth="1"/>
    <col min="3" max="3" width="9.140625" style="22"/>
    <col min="4" max="4" width="6.85546875" style="22" customWidth="1"/>
    <col min="5" max="5" width="19.7109375" style="22" customWidth="1"/>
    <col min="6" max="6" width="7.85546875" style="22" bestFit="1" customWidth="1"/>
    <col min="7" max="7" width="6.140625" style="22" bestFit="1" customWidth="1"/>
    <col min="8" max="8" width="9" style="22" bestFit="1" customWidth="1"/>
    <col min="9" max="9" width="9.42578125" style="22" bestFit="1" customWidth="1"/>
    <col min="10" max="10" width="10.7109375" style="22" bestFit="1" customWidth="1"/>
    <col min="11" max="11" width="8.42578125" style="22" bestFit="1" customWidth="1"/>
    <col min="12" max="12" width="7.7109375" style="22" bestFit="1" customWidth="1"/>
    <col min="13" max="13" width="8.42578125" style="22" bestFit="1" customWidth="1"/>
    <col min="14" max="15" width="9.7109375" style="22" bestFit="1" customWidth="1"/>
    <col min="16" max="16" width="10.28515625" style="22" bestFit="1" customWidth="1"/>
    <col min="17" max="17" width="6.5703125" style="22" bestFit="1" customWidth="1"/>
    <col min="18" max="16384" width="9.140625" style="22"/>
  </cols>
  <sheetData>
    <row r="1" spans="1:17" ht="33.75" customHeight="1" x14ac:dyDescent="0.25">
      <c r="A1" s="88">
        <v>45006</v>
      </c>
      <c r="B1" s="81" t="s">
        <v>237</v>
      </c>
      <c r="D1" s="28" t="s">
        <v>123</v>
      </c>
      <c r="E1" s="89"/>
      <c r="F1" s="90"/>
      <c r="G1" s="89"/>
      <c r="H1" s="89"/>
    </row>
    <row r="2" spans="1:17" x14ac:dyDescent="0.25">
      <c r="D2" s="28" t="s">
        <v>124</v>
      </c>
      <c r="E2" s="23"/>
      <c r="F2" s="90"/>
      <c r="G2" s="89"/>
      <c r="H2" s="89"/>
    </row>
    <row r="3" spans="1:17" x14ac:dyDescent="0.25">
      <c r="D3" s="23"/>
      <c r="E3" s="46" t="s">
        <v>40</v>
      </c>
      <c r="F3" s="90">
        <v>40675</v>
      </c>
      <c r="G3" s="89"/>
      <c r="H3" s="89"/>
    </row>
    <row r="4" spans="1:17" ht="27" customHeight="1" x14ac:dyDescent="0.25">
      <c r="D4" s="23"/>
      <c r="E4" s="91" t="s">
        <v>125</v>
      </c>
      <c r="F4" s="170" t="s">
        <v>126</v>
      </c>
      <c r="G4" s="170"/>
      <c r="H4" s="170"/>
      <c r="I4" s="170"/>
      <c r="J4" s="170"/>
      <c r="K4" s="170"/>
      <c r="L4" s="170"/>
      <c r="M4" s="170"/>
      <c r="N4" s="170"/>
    </row>
    <row r="5" spans="1:17" x14ac:dyDescent="0.25">
      <c r="F5" s="90"/>
      <c r="G5" s="89"/>
      <c r="H5" s="89"/>
    </row>
    <row r="6" spans="1:17" x14ac:dyDescent="0.25">
      <c r="D6" s="92" t="s">
        <v>127</v>
      </c>
      <c r="F6" s="93" t="s">
        <v>128</v>
      </c>
      <c r="G6" s="89"/>
      <c r="H6" s="94" t="s">
        <v>129</v>
      </c>
      <c r="J6" s="22" t="s">
        <v>136</v>
      </c>
      <c r="K6" s="95">
        <v>0.04</v>
      </c>
      <c r="L6" s="95"/>
      <c r="M6" s="95"/>
    </row>
    <row r="7" spans="1:17" x14ac:dyDescent="0.25">
      <c r="E7" s="25" t="s">
        <v>40</v>
      </c>
      <c r="F7" s="90">
        <v>41000</v>
      </c>
      <c r="G7" s="89"/>
      <c r="H7" s="90">
        <f>F7*90%</f>
        <v>36900</v>
      </c>
      <c r="J7" s="22" t="s">
        <v>137</v>
      </c>
      <c r="K7" s="23">
        <v>100000</v>
      </c>
      <c r="L7" s="23" t="s">
        <v>141</v>
      </c>
      <c r="M7" s="23">
        <v>150000</v>
      </c>
      <c r="N7" s="23">
        <v>200000</v>
      </c>
      <c r="O7" s="23">
        <v>250000</v>
      </c>
      <c r="P7" s="22" t="s">
        <v>140</v>
      </c>
    </row>
    <row r="8" spans="1:17" x14ac:dyDescent="0.25">
      <c r="D8" s="102" t="s">
        <v>130</v>
      </c>
      <c r="F8" s="23"/>
      <c r="H8" s="89"/>
      <c r="J8" s="22" t="s">
        <v>138</v>
      </c>
      <c r="K8" s="96">
        <f>-PMT($K$6/12,360,90%*K$7)</f>
        <v>429.67376591891355</v>
      </c>
      <c r="L8" s="97">
        <f>K8*12</f>
        <v>5156.085191026963</v>
      </c>
      <c r="M8" s="96">
        <f>-PMT($K$6/12,360,90%*M$7)</f>
        <v>644.51064887837038</v>
      </c>
      <c r="N8" s="96">
        <f>-PMT($K$6/12,360,90%*N$7)</f>
        <v>859.34753183782709</v>
      </c>
      <c r="O8" s="96">
        <f>-PMT($K$6/12,360,90%*O$7)</f>
        <v>1074.1844147972838</v>
      </c>
      <c r="P8" s="97">
        <f>12*(N8-K8)</f>
        <v>5156.085191026963</v>
      </c>
      <c r="Q8" s="98">
        <f>P8/100000</f>
        <v>5.1560851910269628E-2</v>
      </c>
    </row>
    <row r="9" spans="1:17" x14ac:dyDescent="0.25">
      <c r="D9" s="89"/>
      <c r="E9" s="94" t="s">
        <v>131</v>
      </c>
      <c r="F9" s="90">
        <v>12000</v>
      </c>
      <c r="G9" s="89"/>
      <c r="H9" s="89"/>
      <c r="J9" s="22" t="s">
        <v>139</v>
      </c>
      <c r="K9" s="96">
        <f>-PMT($K$6/12,360,80%*K$7)</f>
        <v>381.93223637236758</v>
      </c>
      <c r="L9" s="97">
        <f>K9*12</f>
        <v>4583.1868364684105</v>
      </c>
      <c r="M9" s="96">
        <f>-PMT($K$6/12,360,80%*M$7)</f>
        <v>572.89835455855132</v>
      </c>
      <c r="N9" s="96">
        <f>-PMT($K$6/12,360,80%*N$7)</f>
        <v>763.86447274473517</v>
      </c>
      <c r="O9" s="96">
        <f>-PMT($K$6/12,360,80%*O$7)</f>
        <v>954.8305909309189</v>
      </c>
      <c r="P9" s="97">
        <f>12*(N9-K9)</f>
        <v>4583.1868364684105</v>
      </c>
      <c r="Q9" s="98">
        <f>P9/100000</f>
        <v>4.5831868364684107E-2</v>
      </c>
    </row>
    <row r="10" spans="1:17" x14ac:dyDescent="0.25">
      <c r="D10" s="89"/>
      <c r="E10" s="25" t="s">
        <v>132</v>
      </c>
      <c r="F10" s="90">
        <v>2000</v>
      </c>
      <c r="G10" s="89"/>
      <c r="H10" s="89"/>
    </row>
    <row r="11" spans="1:17" x14ac:dyDescent="0.25">
      <c r="D11" s="89"/>
      <c r="E11" s="25" t="s">
        <v>133</v>
      </c>
      <c r="F11" s="90">
        <v>1250</v>
      </c>
      <c r="G11" s="89"/>
      <c r="H11" s="89"/>
      <c r="J11" s="22" t="s">
        <v>136</v>
      </c>
      <c r="K11" s="95">
        <v>0.06</v>
      </c>
      <c r="L11" s="95"/>
      <c r="M11" s="95"/>
    </row>
    <row r="12" spans="1:17" x14ac:dyDescent="0.25">
      <c r="D12" s="89"/>
      <c r="E12" s="25" t="s">
        <v>134</v>
      </c>
      <c r="F12" s="99">
        <v>1000</v>
      </c>
      <c r="G12" s="89"/>
      <c r="H12" s="89"/>
      <c r="J12" s="22" t="s">
        <v>137</v>
      </c>
      <c r="K12" s="23">
        <v>100000</v>
      </c>
      <c r="L12" s="23"/>
      <c r="M12" s="23">
        <v>150000</v>
      </c>
      <c r="N12" s="23">
        <v>200000</v>
      </c>
      <c r="O12" s="23">
        <v>250000</v>
      </c>
      <c r="P12" s="22" t="s">
        <v>140</v>
      </c>
    </row>
    <row r="13" spans="1:17" x14ac:dyDescent="0.25">
      <c r="D13" s="89"/>
      <c r="E13" s="89"/>
      <c r="F13" s="90">
        <f>SUM(F9:F12)</f>
        <v>16250</v>
      </c>
      <c r="G13" s="89"/>
      <c r="H13" s="89"/>
      <c r="J13" s="22" t="s">
        <v>138</v>
      </c>
      <c r="K13" s="96">
        <f>-PMT($K$11/12,360,90%*K$12)</f>
        <v>539.59547263747709</v>
      </c>
      <c r="L13" s="97">
        <f>K13*12</f>
        <v>6475.145671649725</v>
      </c>
      <c r="M13" s="96">
        <f>-PMT($K$11/12,360,90%*M$12)</f>
        <v>809.39320895621574</v>
      </c>
      <c r="N13" s="96">
        <f>-PMT($K$11/12,360,90%*N$12)</f>
        <v>1079.1909452749542</v>
      </c>
      <c r="O13" s="96">
        <f>-PMT($K$11/12,360,90%*O$12)</f>
        <v>1348.9886815936927</v>
      </c>
      <c r="P13" s="97">
        <f t="shared" ref="P13:P14" si="0">12*(N13-K13)</f>
        <v>6475.145671649725</v>
      </c>
      <c r="Q13" s="98">
        <f>P13/100000</f>
        <v>6.4751456716497249E-2</v>
      </c>
    </row>
    <row r="14" spans="1:17" x14ac:dyDescent="0.25">
      <c r="F14" s="23"/>
      <c r="J14" s="22" t="s">
        <v>139</v>
      </c>
      <c r="K14" s="96">
        <f>-PMT($K$11/12,360,80%*K$12)</f>
        <v>479.64042012220182</v>
      </c>
      <c r="L14" s="97">
        <f>K14*12</f>
        <v>5755.6850414664223</v>
      </c>
      <c r="M14" s="96">
        <f>-PMT($K$11/12,360,80%*M$12)</f>
        <v>719.46063018330267</v>
      </c>
      <c r="N14" s="96">
        <f>-PMT($K$11/12,360,80%*N$12)</f>
        <v>959.28084024440363</v>
      </c>
      <c r="O14" s="96">
        <f>-PMT($K$11/12,360,80%*O$12)</f>
        <v>1199.1010503055047</v>
      </c>
      <c r="P14" s="97">
        <f t="shared" si="0"/>
        <v>5755.6850414664223</v>
      </c>
      <c r="Q14" s="98">
        <f>P14/100000</f>
        <v>5.7556850414664219E-2</v>
      </c>
    </row>
    <row r="15" spans="1:17" x14ac:dyDescent="0.25">
      <c r="E15" s="25" t="s">
        <v>21</v>
      </c>
      <c r="F15" s="90">
        <v>57000</v>
      </c>
      <c r="H15" s="90">
        <v>53000</v>
      </c>
    </row>
    <row r="16" spans="1:17" x14ac:dyDescent="0.25">
      <c r="J16" s="22" t="s">
        <v>136</v>
      </c>
      <c r="K16" s="95">
        <v>0.08</v>
      </c>
      <c r="L16" s="95"/>
      <c r="M16" s="95"/>
    </row>
    <row r="17" spans="5:17" x14ac:dyDescent="0.25">
      <c r="J17" s="22" t="s">
        <v>137</v>
      </c>
      <c r="K17" s="23">
        <v>100000</v>
      </c>
      <c r="L17" s="23"/>
      <c r="M17" s="23">
        <v>150000</v>
      </c>
      <c r="N17" s="23">
        <v>200000</v>
      </c>
      <c r="O17" s="23">
        <v>250000</v>
      </c>
      <c r="P17" s="22" t="s">
        <v>140</v>
      </c>
    </row>
    <row r="18" spans="5:17" x14ac:dyDescent="0.25">
      <c r="J18" s="22" t="s">
        <v>138</v>
      </c>
      <c r="K18" s="96">
        <f>-PMT($K$16/12,360,90%*K$17)</f>
        <v>660.38811649143861</v>
      </c>
      <c r="L18" s="97">
        <f>K18*12</f>
        <v>7924.6573978972629</v>
      </c>
      <c r="M18" s="96">
        <f>-PMT($K$16/12,360,90%*M$17)</f>
        <v>990.58217473715786</v>
      </c>
      <c r="N18" s="96">
        <f>-PMT($K$16/12,360,90%*N$17)</f>
        <v>1320.7762329828772</v>
      </c>
      <c r="O18" s="96">
        <f>-PMT($K$16/12,360,90%*O$17)</f>
        <v>1650.9702912285964</v>
      </c>
      <c r="P18" s="97">
        <f t="shared" ref="P18:P19" si="1">12*(N18-K18)</f>
        <v>7924.6573978972629</v>
      </c>
      <c r="Q18" s="98">
        <f>P18/100000</f>
        <v>7.9246573978972626E-2</v>
      </c>
    </row>
    <row r="19" spans="5:17" x14ac:dyDescent="0.25">
      <c r="J19" s="22" t="s">
        <v>139</v>
      </c>
      <c r="K19" s="96">
        <f>-PMT($K$16/12,360,80%*K$17)</f>
        <v>587.01165910350096</v>
      </c>
      <c r="L19" s="97">
        <f>K19*12</f>
        <v>7044.1399092420115</v>
      </c>
      <c r="M19" s="96">
        <f t="shared" ref="M19:O19" si="2">-PMT($K$16/12,360,80%*M$17)</f>
        <v>880.51748865525144</v>
      </c>
      <c r="N19" s="96">
        <f t="shared" si="2"/>
        <v>1174.0233182070019</v>
      </c>
      <c r="O19" s="96">
        <f t="shared" si="2"/>
        <v>1467.5291477587523</v>
      </c>
      <c r="P19" s="97">
        <f t="shared" si="1"/>
        <v>7044.1399092420115</v>
      </c>
      <c r="Q19" s="98">
        <f>P19/100000</f>
        <v>7.0441399092420115E-2</v>
      </c>
    </row>
    <row r="20" spans="5:17" x14ac:dyDescent="0.25">
      <c r="G20" s="22" t="s">
        <v>135</v>
      </c>
      <c r="H20" s="98">
        <v>8.6999999999999994E-2</v>
      </c>
    </row>
    <row r="21" spans="5:17" x14ac:dyDescent="0.25">
      <c r="F21" s="92">
        <v>2023</v>
      </c>
      <c r="G21" s="92"/>
      <c r="H21" s="92">
        <v>2024</v>
      </c>
    </row>
    <row r="22" spans="5:17" x14ac:dyDescent="0.25">
      <c r="E22" s="22" t="s">
        <v>142</v>
      </c>
      <c r="F22" s="23">
        <v>41000</v>
      </c>
      <c r="H22" s="23">
        <f>(1+H20)*F22</f>
        <v>44567</v>
      </c>
    </row>
    <row r="23" spans="5:17" x14ac:dyDescent="0.25">
      <c r="E23" s="22" t="s">
        <v>143</v>
      </c>
      <c r="F23" s="23">
        <f>F22*90%</f>
        <v>36900</v>
      </c>
      <c r="H23" s="23">
        <f>H22*90%</f>
        <v>40110.300000000003</v>
      </c>
    </row>
    <row r="24" spans="5:17" x14ac:dyDescent="0.25">
      <c r="F24" s="23"/>
      <c r="H24" s="23"/>
    </row>
    <row r="25" spans="5:17" x14ac:dyDescent="0.25">
      <c r="E25" s="22" t="s">
        <v>144</v>
      </c>
      <c r="F25" s="23">
        <v>10000</v>
      </c>
      <c r="H25" s="23">
        <f>F25</f>
        <v>10000</v>
      </c>
    </row>
    <row r="26" spans="5:17" x14ac:dyDescent="0.25">
      <c r="E26" s="22" t="s">
        <v>145</v>
      </c>
      <c r="F26" s="100">
        <v>6000</v>
      </c>
      <c r="H26" s="100">
        <f>(1+H20)*F26</f>
        <v>6522</v>
      </c>
    </row>
    <row r="27" spans="5:17" x14ac:dyDescent="0.25">
      <c r="F27" s="23">
        <f>SUM(F25:F26)</f>
        <v>16000</v>
      </c>
      <c r="H27" s="23">
        <f>SUM(H25:H26)</f>
        <v>16522</v>
      </c>
    </row>
    <row r="28" spans="5:17" x14ac:dyDescent="0.25">
      <c r="H28" s="23"/>
    </row>
    <row r="29" spans="5:17" x14ac:dyDescent="0.25">
      <c r="E29" s="22" t="s">
        <v>146</v>
      </c>
      <c r="F29" s="23">
        <f>F22+F27</f>
        <v>57000</v>
      </c>
      <c r="H29" s="23">
        <f>H22+H27</f>
        <v>61089</v>
      </c>
      <c r="I29" s="95">
        <f>(H29-F29)/F29</f>
        <v>7.1736842105263154E-2</v>
      </c>
    </row>
    <row r="30" spans="5:17" x14ac:dyDescent="0.25">
      <c r="E30" s="22" t="s">
        <v>147</v>
      </c>
      <c r="F30" s="23">
        <f>F23+F27</f>
        <v>52900</v>
      </c>
      <c r="H30" s="23">
        <f>H23+H27</f>
        <v>56632.3</v>
      </c>
      <c r="I30" s="95">
        <f>(H30-F30)/F30</f>
        <v>7.0553875236294958E-2</v>
      </c>
    </row>
    <row r="31" spans="5:17" x14ac:dyDescent="0.25">
      <c r="K31" s="101">
        <v>0.04</v>
      </c>
      <c r="L31" s="101">
        <v>0.05</v>
      </c>
      <c r="M31" s="101">
        <v>0.06</v>
      </c>
    </row>
    <row r="32" spans="5:17" x14ac:dyDescent="0.25">
      <c r="E32" s="22" t="s">
        <v>148</v>
      </c>
      <c r="F32" s="23">
        <v>57000</v>
      </c>
      <c r="H32" s="23">
        <v>61000</v>
      </c>
      <c r="I32" s="95">
        <f t="shared" ref="I32:I33" si="3">(H32-F32)/F32</f>
        <v>7.0175438596491224E-2</v>
      </c>
      <c r="K32" s="23">
        <f>(1+K$31)*$F32</f>
        <v>59280</v>
      </c>
      <c r="L32" s="23">
        <f t="shared" ref="L32:M33" si="4">(1+L$31)*$F32</f>
        <v>59850</v>
      </c>
      <c r="M32" s="23">
        <f t="shared" si="4"/>
        <v>60420</v>
      </c>
    </row>
    <row r="33" spans="5:13" x14ac:dyDescent="0.25">
      <c r="E33" s="22" t="s">
        <v>149</v>
      </c>
      <c r="F33" s="23">
        <v>53000</v>
      </c>
      <c r="H33" s="23">
        <v>56600</v>
      </c>
      <c r="I33" s="95">
        <f t="shared" si="3"/>
        <v>6.7924528301886791E-2</v>
      </c>
      <c r="K33" s="23">
        <f t="shared" ref="K33" si="5">(1+K$31)*$F33</f>
        <v>55120</v>
      </c>
      <c r="L33" s="23">
        <f t="shared" si="4"/>
        <v>55650</v>
      </c>
      <c r="M33" s="23">
        <f t="shared" si="4"/>
        <v>56180</v>
      </c>
    </row>
  </sheetData>
  <mergeCells count="1">
    <mergeCell ref="F4:N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Compensation WITH PARSONAGE</vt:lpstr>
      <vt:lpstr>Benefits &amp; Expenses</vt:lpstr>
      <vt:lpstr>Printable Summary</vt:lpstr>
      <vt:lpstr>Printable Summary - Shared Call</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 Phillips</dc:creator>
  <cp:lastModifiedBy>Mitch Phillips</cp:lastModifiedBy>
  <cp:lastPrinted>2022-03-25T03:27:27Z</cp:lastPrinted>
  <dcterms:created xsi:type="dcterms:W3CDTF">2022-01-16T21:15:39Z</dcterms:created>
  <dcterms:modified xsi:type="dcterms:W3CDTF">2023-06-23T19:26:29Z</dcterms:modified>
</cp:coreProperties>
</file>