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C:\Users\BishopAsst\Google Drive\_Pr.Mitch.Phillips Files\NEOS\Compensation Standards Team\"/>
    </mc:Choice>
  </mc:AlternateContent>
  <xr:revisionPtr revIDLastSave="0" documentId="8_{251AC89D-E5CB-4549-AACC-5CB092B4260E}" xr6:coauthVersionLast="47" xr6:coauthVersionMax="47" xr10:uidLastSave="{00000000-0000-0000-0000-000000000000}"/>
  <bookViews>
    <workbookView xWindow="1560" yWindow="0" windowWidth="21585" windowHeight="17400" activeTab="1" xr2:uid="{4B1AADFF-8D70-4895-86EF-5936CD65B5B2}"/>
  </bookViews>
  <sheets>
    <sheet name="Instructions" sheetId="6" r:id="rId1"/>
    <sheet name="CONTINUING CALL Compensation" sheetId="9" r:id="rId2"/>
    <sheet name="Benefits &amp; Expenses" sheetId="2" r:id="rId3"/>
    <sheet name="Printable Summary" sheetId="3" r:id="rId4"/>
    <sheet name="Printable Summary - Shared Call" sheetId="4" r:id="rId5"/>
    <sheet name="Change Log" sheetId="10"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1" i="9" l="1"/>
  <c r="M33" i="10"/>
  <c r="L33" i="10"/>
  <c r="K33" i="10"/>
  <c r="I33" i="10"/>
  <c r="M32" i="10"/>
  <c r="L32" i="10"/>
  <c r="K32" i="10"/>
  <c r="I32" i="10"/>
  <c r="F30" i="10"/>
  <c r="F27" i="10"/>
  <c r="F29" i="10" s="1"/>
  <c r="H26" i="10"/>
  <c r="H25" i="10"/>
  <c r="H27" i="10" s="1"/>
  <c r="F23" i="10"/>
  <c r="H22" i="10"/>
  <c r="P19" i="10"/>
  <c r="Q19" i="10" s="1"/>
  <c r="O19" i="10"/>
  <c r="N19" i="10"/>
  <c r="M19" i="10"/>
  <c r="K19" i="10"/>
  <c r="L19" i="10" s="1"/>
  <c r="O18" i="10"/>
  <c r="N18" i="10"/>
  <c r="P18" i="10" s="1"/>
  <c r="Q18" i="10" s="1"/>
  <c r="M18" i="10"/>
  <c r="K18" i="10"/>
  <c r="L18" i="10" s="1"/>
  <c r="Q14" i="10"/>
  <c r="P14" i="10"/>
  <c r="O14" i="10"/>
  <c r="N14" i="10"/>
  <c r="M14" i="10"/>
  <c r="K14" i="10"/>
  <c r="L14" i="10" s="1"/>
  <c r="Q13" i="10"/>
  <c r="P13" i="10"/>
  <c r="O13" i="10"/>
  <c r="N13" i="10"/>
  <c r="M13" i="10"/>
  <c r="L13" i="10"/>
  <c r="K13" i="10"/>
  <c r="F13" i="10"/>
  <c r="O9" i="10"/>
  <c r="N9" i="10"/>
  <c r="M9" i="10"/>
  <c r="K9" i="10"/>
  <c r="P9" i="10" s="1"/>
  <c r="Q9" i="10" s="1"/>
  <c r="P8" i="10"/>
  <c r="Q8" i="10" s="1"/>
  <c r="O8" i="10"/>
  <c r="N8" i="10"/>
  <c r="M8" i="10"/>
  <c r="K8" i="10"/>
  <c r="L8" i="10" s="1"/>
  <c r="H7" i="10"/>
  <c r="H29" i="10" l="1"/>
  <c r="I29" i="10" s="1"/>
  <c r="L9" i="10"/>
  <c r="H23" i="10"/>
  <c r="H30" i="10" s="1"/>
  <c r="I30" i="10" s="1"/>
  <c r="D22" i="9" l="1"/>
  <c r="C19" i="2" s="1"/>
  <c r="D10" i="9"/>
  <c r="D12" i="9" s="1"/>
  <c r="C17" i="2"/>
  <c r="F3" i="9"/>
  <c r="D27" i="9"/>
  <c r="D28" i="9"/>
  <c r="D29" i="9" s="1"/>
  <c r="D39" i="9"/>
  <c r="D40" i="9" s="1"/>
  <c r="D31" i="9"/>
  <c r="Q15" i="2"/>
  <c r="H7" i="4"/>
  <c r="F5" i="4"/>
  <c r="H9" i="4"/>
  <c r="F9" i="4"/>
  <c r="D9" i="4"/>
  <c r="D3" i="4"/>
  <c r="J37" i="4"/>
  <c r="J36" i="4"/>
  <c r="J35" i="4"/>
  <c r="J34" i="4"/>
  <c r="J33" i="4"/>
  <c r="J25" i="4"/>
  <c r="J24" i="4"/>
  <c r="J23" i="4"/>
  <c r="J22" i="4"/>
  <c r="P15" i="2"/>
  <c r="N53" i="2"/>
  <c r="H37" i="4" s="1"/>
  <c r="L53" i="2"/>
  <c r="F37" i="4" s="1"/>
  <c r="J53" i="2"/>
  <c r="D37" i="4" s="1"/>
  <c r="N52" i="2"/>
  <c r="H36" i="4" s="1"/>
  <c r="L52" i="2"/>
  <c r="F36" i="4" s="1"/>
  <c r="J52" i="2"/>
  <c r="D36" i="4" s="1"/>
  <c r="N51" i="2"/>
  <c r="H35" i="4" s="1"/>
  <c r="L51" i="2"/>
  <c r="F35" i="4" s="1"/>
  <c r="J51" i="2"/>
  <c r="D35" i="4" s="1"/>
  <c r="N50" i="2"/>
  <c r="H34" i="4" s="1"/>
  <c r="L50" i="2"/>
  <c r="F34" i="4" s="1"/>
  <c r="J50" i="2"/>
  <c r="D34" i="4" s="1"/>
  <c r="N49" i="2"/>
  <c r="L49" i="2"/>
  <c r="L55" i="2" s="1"/>
  <c r="J49" i="2"/>
  <c r="N42" i="2"/>
  <c r="L42" i="2"/>
  <c r="J42" i="2"/>
  <c r="N41" i="2"/>
  <c r="L41" i="2"/>
  <c r="J41" i="2"/>
  <c r="N40" i="2"/>
  <c r="L40" i="2"/>
  <c r="J40" i="2"/>
  <c r="N36" i="2"/>
  <c r="L36" i="2"/>
  <c r="F25" i="4" s="1"/>
  <c r="J36" i="2"/>
  <c r="D25" i="4" s="1"/>
  <c r="N35" i="2"/>
  <c r="H24" i="4" s="1"/>
  <c r="L35" i="2"/>
  <c r="F24" i="4" s="1"/>
  <c r="J35" i="2"/>
  <c r="D24" i="4" s="1"/>
  <c r="N34" i="2"/>
  <c r="H23" i="4" s="1"/>
  <c r="L34" i="2"/>
  <c r="F23" i="4" s="1"/>
  <c r="J34" i="2"/>
  <c r="D23" i="4" s="1"/>
  <c r="N33" i="2"/>
  <c r="H22" i="4" s="1"/>
  <c r="L33" i="2"/>
  <c r="J33" i="2"/>
  <c r="D15" i="9" l="1"/>
  <c r="D18" i="9" s="1"/>
  <c r="D32" i="9"/>
  <c r="N55" i="2"/>
  <c r="P55" i="2" s="1"/>
  <c r="N43" i="2"/>
  <c r="H28" i="4" s="1"/>
  <c r="J55" i="2"/>
  <c r="N37" i="2"/>
  <c r="L37" i="2"/>
  <c r="F26" i="4" s="1"/>
  <c r="L43" i="2"/>
  <c r="F28" i="4" s="1"/>
  <c r="J37" i="2"/>
  <c r="F33" i="4"/>
  <c r="F39" i="4" s="1"/>
  <c r="F22" i="4"/>
  <c r="J43" i="2"/>
  <c r="D28" i="4" s="1"/>
  <c r="D33" i="4"/>
  <c r="D39" i="4" s="1"/>
  <c r="J26" i="4"/>
  <c r="H25" i="4"/>
  <c r="H33" i="4"/>
  <c r="H39" i="4" s="1"/>
  <c r="D22" i="4"/>
  <c r="J39" i="4"/>
  <c r="J19" i="2"/>
  <c r="D16" i="4" s="1"/>
  <c r="L19" i="2"/>
  <c r="F16" i="4" s="1"/>
  <c r="D19" i="9" l="1"/>
  <c r="D20" i="9"/>
  <c r="L45" i="2"/>
  <c r="H26" i="4"/>
  <c r="H30" i="4" s="1"/>
  <c r="N45" i="2"/>
  <c r="D26" i="4"/>
  <c r="D30" i="4" s="1"/>
  <c r="J45" i="2"/>
  <c r="F30" i="4"/>
  <c r="P45" i="2" l="1"/>
  <c r="B29" i="3" l="1"/>
  <c r="B28" i="3"/>
  <c r="B27" i="3"/>
  <c r="B26" i="3"/>
  <c r="B25" i="3"/>
  <c r="B16" i="3"/>
  <c r="B15" i="3"/>
  <c r="C43" i="2"/>
  <c r="B14" i="3"/>
  <c r="B13" i="3"/>
  <c r="C55" i="2"/>
  <c r="C37" i="2"/>
  <c r="B19" i="3" l="1"/>
  <c r="J28" i="4"/>
  <c r="J30" i="4" s="1"/>
  <c r="E17" i="2"/>
  <c r="J14" i="4" s="1"/>
  <c r="B31" i="3"/>
  <c r="C45" i="2"/>
  <c r="B17" i="3"/>
  <c r="B21" i="3" l="1"/>
  <c r="N17" i="2"/>
  <c r="N21" i="2" s="1"/>
  <c r="N58" i="2" s="1"/>
  <c r="L17" i="2"/>
  <c r="L21" i="2" s="1"/>
  <c r="L58" i="2" s="1"/>
  <c r="J17" i="2"/>
  <c r="J21" i="2" s="1"/>
  <c r="J58" i="2" s="1"/>
  <c r="B5" i="3"/>
  <c r="E19" i="2"/>
  <c r="N19" i="2" s="1"/>
  <c r="H16" i="4" s="1"/>
  <c r="E21" i="2" l="1"/>
  <c r="J16" i="4"/>
  <c r="J18" i="4" s="1"/>
  <c r="J42" i="4" s="1"/>
  <c r="B7" i="3"/>
  <c r="B9" i="3" s="1"/>
  <c r="B34" i="3" s="1"/>
  <c r="H14" i="4"/>
  <c r="H18" i="4" s="1"/>
  <c r="H42" i="4" s="1"/>
  <c r="F14" i="4"/>
  <c r="F18" i="4" s="1"/>
  <c r="F42" i="4" s="1"/>
  <c r="P21" i="2"/>
  <c r="D14" i="4"/>
  <c r="D18" i="4" s="1"/>
  <c r="D42" i="4" s="1"/>
  <c r="C21" i="2"/>
  <c r="C58" i="2" s="1"/>
  <c r="P58" i="2" l="1"/>
  <c r="C30" i="2"/>
</calcChain>
</file>

<file path=xl/sharedStrings.xml><?xml version="1.0" encoding="utf-8"?>
<sst xmlns="http://schemas.openxmlformats.org/spreadsheetml/2006/main" count="276" uniqueCount="225">
  <si>
    <t>Section 1</t>
  </si>
  <si>
    <t>Formula</t>
  </si>
  <si>
    <t>Your Baseline</t>
  </si>
  <si>
    <t>Section 2</t>
  </si>
  <si>
    <t>Determining Salary Range Adjustments</t>
  </si>
  <si>
    <t>Lutherans have long expected that their pastoral leaders be well-educated. This credit seeks to account for and encourage life-long learning for leadership.</t>
  </si>
  <si>
    <t>Negotiating Actual Salary</t>
  </si>
  <si>
    <r>
      <t xml:space="preserve">Determining </t>
    </r>
    <r>
      <rPr>
        <b/>
        <u/>
        <sz val="14"/>
        <color theme="1"/>
        <rFont val="Arial"/>
        <family val="2"/>
      </rPr>
      <t>MINIMUM</t>
    </r>
    <r>
      <rPr>
        <b/>
        <sz val="14"/>
        <color theme="1"/>
        <rFont val="Arial"/>
        <family val="2"/>
      </rPr>
      <t xml:space="preserve"> Salary</t>
    </r>
  </si>
  <si>
    <t>Your Figure</t>
  </si>
  <si>
    <t>Your Points</t>
  </si>
  <si>
    <t>Box Label</t>
  </si>
  <si>
    <t>&lt;&lt;&lt; Box A</t>
  </si>
  <si>
    <t>&lt;&lt;&lt; Box B</t>
  </si>
  <si>
    <t>&lt;&lt;&lt; Box C</t>
  </si>
  <si>
    <t>&lt;&lt;&lt; Box D</t>
  </si>
  <si>
    <t>&lt;&lt;&lt; Box E</t>
  </si>
  <si>
    <t>&lt;&lt;&lt; Box F</t>
  </si>
  <si>
    <t>&lt;&lt;&lt; Box G</t>
  </si>
  <si>
    <t>&lt;&lt;&lt; Box H</t>
  </si>
  <si>
    <t>&lt;&lt;&lt; Box I</t>
  </si>
  <si>
    <t>&lt;&lt;&lt; Box J</t>
  </si>
  <si>
    <t>&lt;&lt;&lt; Box K</t>
  </si>
  <si>
    <t>&lt;&lt;&lt; Box L</t>
  </si>
  <si>
    <t>&lt;&lt;&lt; Box M</t>
  </si>
  <si>
    <t>Baseline Salary</t>
  </si>
  <si>
    <t>Local Housing Cost Adjustment</t>
  </si>
  <si>
    <t>Adjusted Baseline Salary</t>
  </si>
  <si>
    <t>Years of Experience</t>
  </si>
  <si>
    <t>Years of Related Non-Pastoral Experience</t>
  </si>
  <si>
    <t>Furthered Education</t>
  </si>
  <si>
    <t>Possible Salary Adjustment</t>
  </si>
  <si>
    <t>Salary Adjustment Range</t>
  </si>
  <si>
    <r>
      <t xml:space="preserve">The Northeastern Ohio Synod Council and Assembly annually set a "Baseline Salary" for rostered ministers guided by the admonition from Scripture:
</t>
    </r>
    <r>
      <rPr>
        <i/>
        <sz val="11"/>
        <color theme="1"/>
        <rFont val="Times New Roman"/>
        <family val="1"/>
      </rPr>
      <t>"Let the elders who rule well be considered worthy of compensation, especially those who labor in preaching and teaching; for the scripture says, 'You shall not muzzle an ox while it is treading out the grain,' and, 'The laborer deserves to be paid'."</t>
    </r>
    <r>
      <rPr>
        <sz val="11"/>
        <color theme="1"/>
        <rFont val="Times New Roman"/>
        <family val="1"/>
      </rPr>
      <t xml:space="preserve"> (1 Timothy 5:17ff.)
The phrase, "who rule well", points to the need for a </t>
    </r>
    <r>
      <rPr>
        <u/>
        <sz val="11"/>
        <color theme="1"/>
        <rFont val="Times New Roman"/>
        <family val="1"/>
      </rPr>
      <t>process of appraising performance</t>
    </r>
    <r>
      <rPr>
        <sz val="11"/>
        <color theme="1"/>
        <rFont val="Times New Roman"/>
        <family val="1"/>
      </rPr>
      <t xml:space="preserve"> in addition to this </t>
    </r>
    <r>
      <rPr>
        <u/>
        <sz val="11"/>
        <color theme="1"/>
        <rFont val="Times New Roman"/>
        <family val="1"/>
      </rPr>
      <t>process of determining appropriate salary ranges</t>
    </r>
    <r>
      <rPr>
        <sz val="11"/>
        <color theme="1"/>
        <rFont val="Times New Roman"/>
        <family val="1"/>
      </rPr>
      <t xml:space="preserve"> as steps toward negotiating actual salary amounts.</t>
    </r>
  </si>
  <si>
    <t>As per most professional salary systems, we seek to reflect the value of acquired skills, wisdom, and experiences which can only come from actual ministry experience.</t>
  </si>
  <si>
    <t>Research has established that vibrant long-term tenures are often associated with congregational growth. We seek to reflect our shared valuing of healthy, longer-tenured ministries with this adjustment.</t>
  </si>
  <si>
    <t>Longevity in Current Call</t>
  </si>
  <si>
    <r>
      <t xml:space="preserve">Increasingly, persons with prior experience in related fields are entering rostered ministry in our church. We seek to acknowledge the value of prior experience </t>
    </r>
    <r>
      <rPr>
        <b/>
        <i/>
        <u/>
        <sz val="12"/>
        <color theme="1"/>
        <rFont val="Times New Roman"/>
        <family val="1"/>
      </rPr>
      <t>in related fields</t>
    </r>
    <r>
      <rPr>
        <sz val="12"/>
        <color theme="1"/>
        <rFont val="Times New Roman"/>
        <family val="1"/>
      </rPr>
      <t xml:space="preserve"> (i.e. teaching, administration, financial, counseling, social work, etc.) with this adjustment.</t>
    </r>
  </si>
  <si>
    <t>Experience Adjustment</t>
  </si>
  <si>
    <r>
      <t>The Northeastern Ohio Synod covers a large, economically diverse area with housing costs varying widely within and between the city of Cleveland and its suburbs, other cities, and rural areas. A cost of housing adjustment to the base salary acknowledges the diversity.</t>
    </r>
    <r>
      <rPr>
        <sz val="6"/>
        <color theme="1"/>
        <rFont val="Times New Roman"/>
        <family val="1"/>
      </rPr>
      <t xml:space="preserve">
</t>
    </r>
  </si>
  <si>
    <t>Place an X in the appropriate box.</t>
  </si>
  <si>
    <t>SS Offset</t>
  </si>
  <si>
    <t>As described in the Compensation Standards document, a pastor's compensation is to include a Social Security Offset.</t>
  </si>
  <si>
    <t>Salary</t>
  </si>
  <si>
    <t>Social Security Offset (pastors only)</t>
  </si>
  <si>
    <t>NOTE: Enter appropriate values in the blue boxes.
All other calculations are automatic.</t>
  </si>
  <si>
    <t>Total Cash Compensation</t>
  </si>
  <si>
    <t>Pension, Health, and Other Benefits</t>
  </si>
  <si>
    <t>The Portico cost calculator can be found at:</t>
  </si>
  <si>
    <t>https://employerlink.porticobenefits.org/resources/calculators/benefit-costs-calculator#/</t>
  </si>
  <si>
    <t>You will need to know the rostered minister's birthdate.</t>
  </si>
  <si>
    <t>Synod:</t>
  </si>
  <si>
    <t>Northeastern Ohio Synod - 6E</t>
  </si>
  <si>
    <t>Defined Compensation:</t>
  </si>
  <si>
    <t>Health Insurance</t>
  </si>
  <si>
    <t>Retirement</t>
  </si>
  <si>
    <t>Disability</t>
  </si>
  <si>
    <t>Portico Benefits Total:</t>
  </si>
  <si>
    <t>Cost of additional benefits:</t>
  </si>
  <si>
    <t>Total Cost of Benefits</t>
  </si>
  <si>
    <t>Other Expenses</t>
  </si>
  <si>
    <t>Mileage Reimbursement</t>
  </si>
  <si>
    <t>Other Professional Expenses</t>
  </si>
  <si>
    <t>Continuing Education</t>
  </si>
  <si>
    <t>Cell Phone Reimbursement</t>
  </si>
  <si>
    <t>Total Cost of Other Expenses</t>
  </si>
  <si>
    <t>Total Compensation, Benefits,</t>
  </si>
  <si>
    <t>and Other Expenses</t>
  </si>
  <si>
    <t>Benefits &amp; Expenses Summary</t>
  </si>
  <si>
    <t>(at IRS approved rate per mile)</t>
  </si>
  <si>
    <t>(minimum of $700 recommended)</t>
  </si>
  <si>
    <t>Proposed Compensation, Benefits, and Expenses</t>
  </si>
  <si>
    <t xml:space="preserve"> Cash Compensation</t>
  </si>
  <si>
    <t>Total Portico Benefits</t>
  </si>
  <si>
    <t>Other Benefits</t>
  </si>
  <si>
    <t xml:space="preserve"> Benefits</t>
  </si>
  <si>
    <t>Professional Expenses</t>
  </si>
  <si>
    <t>Other</t>
  </si>
  <si>
    <t xml:space="preserve"> Professional Expenses</t>
  </si>
  <si>
    <t xml:space="preserve"> Total Compensation, Benefits, and Expenses</t>
  </si>
  <si>
    <t>Cash Compensation to Pastor/Deacon</t>
  </si>
  <si>
    <t>Basic Group Life</t>
  </si>
  <si>
    <t>(recommended 12% - minimum 10%)</t>
  </si>
  <si>
    <t>Retirement Percentage:</t>
  </si>
  <si>
    <r>
      <t>Additional Benefits (</t>
    </r>
    <r>
      <rPr>
        <i/>
        <sz val="12"/>
        <color theme="1"/>
        <rFont val="Calibri"/>
        <family val="2"/>
        <scheme val="minor"/>
      </rPr>
      <t>if applicable, please list and indicate cost</t>
    </r>
    <r>
      <rPr>
        <sz val="12"/>
        <color theme="1"/>
        <rFont val="Calibri"/>
        <family val="2"/>
        <scheme val="minor"/>
      </rPr>
      <t>)</t>
    </r>
  </si>
  <si>
    <t>Item 1</t>
  </si>
  <si>
    <t>Item 2</t>
  </si>
  <si>
    <t>Item 3</t>
  </si>
  <si>
    <t>Health Insurance, Retirement, and Other Benefits</t>
  </si>
  <si>
    <t>Compensation Modifier</t>
  </si>
  <si>
    <t>If this is not a full-time call, enter the percentage modifer in the pink box and the modified numbers will be transferred to the report on the next tab.</t>
  </si>
  <si>
    <t>Compensation Modifier:</t>
  </si>
  <si>
    <t>Shared Calls</t>
  </si>
  <si>
    <t>If the expenses for this call are shared by multiple congregations, enter the congregation names and appropriate percentages below.</t>
  </si>
  <si>
    <t>Percentage:</t>
  </si>
  <si>
    <t>Cong A</t>
  </si>
  <si>
    <t>Cong B</t>
  </si>
  <si>
    <t>Cong C</t>
  </si>
  <si>
    <t>Total</t>
  </si>
  <si>
    <t xml:space="preserve">Name of Cong A: </t>
  </si>
  <si>
    <t xml:space="preserve">Name of Cong B: </t>
  </si>
  <si>
    <t xml:space="preserve">Name of Cong C: </t>
  </si>
  <si>
    <t>Percentage</t>
  </si>
  <si>
    <t xml:space="preserve"> Total Compensation,</t>
  </si>
  <si>
    <t>Benefits, and Expenses</t>
  </si>
  <si>
    <t>Health Insurance, Retirement,</t>
  </si>
  <si>
    <t>and Other Benefits</t>
  </si>
  <si>
    <t>Social Security Offset (pastors)</t>
  </si>
  <si>
    <t>Cash Compensation</t>
  </si>
  <si>
    <t>to Pastor/Deacon</t>
  </si>
  <si>
    <t>With the exception of the red-bordered Compensation Modifer found below in the pink cell - and the orange congregation names and percentages in the Shared Calls section - you should only enter numbers in the blue shaded cells. Amounts for the Portico benefits are found by visiting the Portico calculator using the link below.</t>
  </si>
  <si>
    <t>Pastoral leaders of large churches often bear increased responsibilities and expectations. Similarly, leaders in a multi-congregation call also oversee or supervise additional staff. We seek to acknowledge such with this adjustment.</t>
  </si>
  <si>
    <r>
      <t xml:space="preserve">Credit is given for primary leadership in congregations where the staff exceeds the minimum needs of a congregation (worship musician and office support). Credit at least one point for each staff member beyond the pastor, worship musician, and secretarial support. In multi-congregation calls, credit one point for </t>
    </r>
    <r>
      <rPr>
        <i/>
        <u/>
        <sz val="12"/>
        <color theme="1"/>
        <rFont val="Times New Roman"/>
        <family val="1"/>
      </rPr>
      <t>every</t>
    </r>
    <r>
      <rPr>
        <sz val="12"/>
        <color theme="1"/>
        <rFont val="Times New Roman"/>
        <family val="1"/>
      </rPr>
      <t xml:space="preserve"> staff member in each additional congregation.</t>
    </r>
  </si>
  <si>
    <t>Staff and/or Multiple Congregation Leadership</t>
  </si>
  <si>
    <t>Cash Compensation (transferred from a previous tab)</t>
  </si>
  <si>
    <t>Negotiated/Adjusted Salary</t>
  </si>
  <si>
    <t>Printable Summary</t>
  </si>
  <si>
    <t>Compensation, Benefits, &amp; Expenses Calculation Worksheet</t>
  </si>
  <si>
    <r>
      <t xml:space="preserve">Benefits &amp; Expenses
</t>
    </r>
    <r>
      <rPr>
        <sz val="12"/>
        <color theme="1"/>
        <rFont val="Calibri"/>
        <family val="2"/>
        <scheme val="minor"/>
      </rPr>
      <t>(with calculations for part time and shared calls)</t>
    </r>
  </si>
  <si>
    <t>This tab may be used to print out a summary of compensation, benefits, and expenses (such as for use at a congregation or council meeting).</t>
  </si>
  <si>
    <t>Similar to the previous tab, this tab provides a printable summary in situations where the costs of compensation, benefits, and expenses are apportioned to multiple congregations.</t>
  </si>
  <si>
    <t>Printable Summary - 
Shared Call</t>
  </si>
  <si>
    <t>Use this tab to summarize the cost of Benefits and Expenses. A link is provided to the Portico benefits calculator. The salary amount is transferred from the calculations tab. This tab can also be used to calculate part time calls and apportioning expenses for shared calls.</t>
  </si>
  <si>
    <t>X</t>
  </si>
  <si>
    <t>Social Security Offset (Pastors)</t>
  </si>
  <si>
    <t>Notes / Comments</t>
  </si>
  <si>
    <t xml:space="preserve">For a Pastor:    </t>
  </si>
  <si>
    <t>For a Deacon:</t>
  </si>
  <si>
    <t>COLA</t>
  </si>
  <si>
    <t>COLA Based Calculations</t>
  </si>
  <si>
    <t>The 2023 COLA is:</t>
  </si>
  <si>
    <t>Enter the Rostered Minister's cash compensation for 2023.</t>
  </si>
  <si>
    <t>Cash compensation</t>
  </si>
  <si>
    <t>Median home price at time of call</t>
  </si>
  <si>
    <t>Portion of compensation to which the COLA will be applied:</t>
  </si>
  <si>
    <t>COLA change in compensation:</t>
  </si>
  <si>
    <t>Proposed COLA adjusted compensation for 2024:</t>
  </si>
  <si>
    <t>Benchmark Calculations</t>
  </si>
  <si>
    <t>The calculations in this section are similar to those of a new call and may be completed to serve as benchmarks for comparing the above COLA based calculation.</t>
  </si>
  <si>
    <t>NOTE: If a congregation has been making COLA adjustments each year and considering merit increases, the COLA based calculation above would be expected to exceed the high end benchmark below.</t>
  </si>
  <si>
    <r>
      <t>Baseline Salary includes what has historically been calculated separately for salary and housing - and assumes $100,000 as the median price of a home in the service area of the congregation. (It is important to note that the amount of salary actually designated as "Housing Allowance" for pastors must be recorded as a vote of the congregation’s Council/Board prior to the beginning of the year.)</t>
    </r>
    <r>
      <rPr>
        <sz val="6"/>
        <color theme="1"/>
        <rFont val="Times New Roman"/>
        <family val="1"/>
      </rPr>
      <t xml:space="preserve">
</t>
    </r>
    <r>
      <rPr>
        <b/>
        <sz val="13"/>
        <color theme="1"/>
        <rFont val="Times New Roman"/>
        <family val="1"/>
      </rPr>
      <t>For the year 2024 the baseline for pastors is $61,000 and for deacons is $56,600.</t>
    </r>
    <r>
      <rPr>
        <b/>
        <sz val="6"/>
        <color theme="1"/>
        <rFont val="Times New Roman"/>
        <family val="1"/>
      </rPr>
      <t xml:space="preserve">
</t>
    </r>
    <r>
      <rPr>
        <sz val="6"/>
        <color theme="1"/>
        <rFont val="Times New Roman"/>
        <family val="1"/>
      </rPr>
      <t xml:space="preserve"> 
</t>
    </r>
    <r>
      <rPr>
        <sz val="12"/>
        <color theme="1"/>
        <rFont val="Times New Roman"/>
        <family val="1"/>
      </rPr>
      <t>(If the terms of call are less than full time, or if use of a parsonage is included as a portion of compensation, this figure should be adjusted accordingly in consultation with synod staff.)</t>
    </r>
  </si>
  <si>
    <r>
      <t>The rows above are used to compile a point total which will assist you in quantifying a range above the adjusted baseline for appropriate salary.</t>
    </r>
    <r>
      <rPr>
        <sz val="6"/>
        <color theme="1"/>
        <rFont val="Times New Roman"/>
        <family val="1"/>
      </rPr>
      <t xml:space="preserve">
</t>
    </r>
    <r>
      <rPr>
        <b/>
        <sz val="12"/>
        <color theme="1"/>
        <rFont val="Times New Roman"/>
        <family val="1"/>
      </rPr>
      <t>For the year 2024, the range modifier is set at $400 per point.</t>
    </r>
  </si>
  <si>
    <t>COLA Based Calculation</t>
  </si>
  <si>
    <t>Adjusted Baseline + Adjustment Range</t>
  </si>
  <si>
    <t>Negotiated Salary for 2024</t>
  </si>
  <si>
    <r>
      <t xml:space="preserve">Although the Synod may produce helpful guidelines and minimum baselines for appropriate salary, congregations need to annually review and revise salary for their rostered ministers. The calculated COLA based compensation and the baseline benchmarks (if that section was completed) provide a starting point for this conversation. During the course of the conversation between the pastor/deacon and those responsible for the annual review &amp; salary recommendations, consider using the following questions as guides for negotiating the salar for the coming year:
</t>
    </r>
    <r>
      <rPr>
        <i/>
        <sz val="12"/>
        <color theme="1"/>
        <rFont val="Times New Roman"/>
        <family val="1"/>
      </rPr>
      <t xml:space="preserve">   • Does our pastor/deacon bring any additional or special skills to the position that ought to be rewarded?
   • Has our pastor/deacon met their mutually-predetermined ministry goals during the past twelve months?
   • Do we expect our pastor/deacon to take on any significant additional responsibilities as a leader of our congregation?
   • Is our pastor/deacon competent in their fulfillment of the ministry position to which they have been called?
   • Are there any unique financial stresses which the congregation ought to seek to accommodate so as to allow
            our pastor/deacon to better serve our community?
   • Are there any unique financial stresses facing the congregation which need to be accommodated?
   • Are we in an area where housing costs are unusually high and special consideration may need to be made?
</t>
    </r>
    <r>
      <rPr>
        <b/>
        <sz val="12"/>
        <color theme="1"/>
        <rFont val="Times New Roman"/>
        <family val="1"/>
      </rPr>
      <t xml:space="preserve">The figure entered in Box M represents our mutually-negotiated full-time salary for the year 2024. </t>
    </r>
    <r>
      <rPr>
        <sz val="12"/>
        <color theme="1"/>
        <rFont val="Times New Roman"/>
        <family val="1"/>
      </rPr>
      <t>(Adjustments if the terms of call are less than full time will be made on the Benefits &amp; Expenses tab.)</t>
    </r>
  </si>
  <si>
    <t>The baseline salary for new calls is adjusted each year based on the previous year's Federal Cost of Living Adjustment. This section of the worksheet uses this standard to calculate an appropriate compensation increase for consideration.</t>
  </si>
  <si>
    <r>
      <rPr>
        <b/>
        <sz val="12"/>
        <color theme="1"/>
        <rFont val="Times New Roman"/>
        <family val="1"/>
      </rPr>
      <t>INCLUDE</t>
    </r>
    <r>
      <rPr>
        <sz val="12"/>
        <color theme="1"/>
        <rFont val="Times New Roman"/>
        <family val="1"/>
      </rPr>
      <t xml:space="preserve"> the salary and housing components of cash compensation.
</t>
    </r>
    <r>
      <rPr>
        <b/>
        <sz val="12"/>
        <color theme="1"/>
        <rFont val="Times New Roman"/>
        <family val="1"/>
      </rPr>
      <t>DO NOT INCLUDE</t>
    </r>
    <r>
      <rPr>
        <sz val="12"/>
        <color theme="1"/>
        <rFont val="Times New Roman"/>
        <family val="1"/>
      </rPr>
      <t xml:space="preserve"> a pastor's Social Security Offset</t>
    </r>
  </si>
  <si>
    <t>Not all of a rostered ministers living expenses are subject to inflation for which the COLA compensates - i.e. mortgage costs, property taxes, and insurance. Those costs are relatively fixed and these calculations take this into consideration.</t>
  </si>
  <si>
    <t>To determine the portion of cash compensation to exclude from the COLA (as described to the left) it is necessary to know the median home price when the rostered minister was called. Zillow.com has some of this history - or you may want to use the purchase price of the rostered minister's home.</t>
  </si>
  <si>
    <t>Select
Version</t>
  </si>
  <si>
    <t>This worksheet will adjust based on whether it is being used for a Pastor or Deacon. Please place an X in the green box for a Pastor or in the orange box for a Deacon.</t>
  </si>
  <si>
    <t>Source</t>
  </si>
  <si>
    <t>Refer to the Compensation Standards document for an explanation.</t>
  </si>
  <si>
    <t>CONTINUING CALL Compensation</t>
  </si>
  <si>
    <t>This tab is to be used for continuing calls (there is a separate worksheet for new calls) to calculate a COLA based compensation adjustment and optional benchmarks to ensure that a pastor or deacon is being equitably compensated.</t>
  </si>
  <si>
    <t>for Continuing Calls (beyond the first year)</t>
  </si>
  <si>
    <t>This worksheet has been created to simplify the calculations for compensation, benefits, and expenses for pastors and deacons. Please refer to the latest version of the Northeastern Ohio Synod "Standards and Resources for Compensation for Rostered Ministers" document for guidance in using this worksheet.
The worksheet includes multiple tabs as follows:</t>
  </si>
  <si>
    <t>The appropriate Social Security Offset (7.65%) to accompany the pastor's Negotiated Salary is:</t>
  </si>
  <si>
    <t>TOTAL</t>
  </si>
  <si>
    <t>Version: 4/18/2023</t>
  </si>
  <si>
    <t>This is the proposed COLA based compensation - including merit and incentive increases - from the above section.</t>
  </si>
  <si>
    <t>&lt;&lt;&lt; Box N</t>
  </si>
  <si>
    <t>&lt;&lt;&lt; Box O</t>
  </si>
  <si>
    <t>&lt;&lt;&lt; Box P</t>
  </si>
  <si>
    <t>&lt;&lt;&lt; Box Q</t>
  </si>
  <si>
    <t>&lt;&lt;&lt; Box R</t>
  </si>
  <si>
    <t>&lt;&lt;&lt; Box S</t>
  </si>
  <si>
    <t>&lt;&lt;&lt; Box T</t>
  </si>
  <si>
    <t>&lt;&lt;&lt; Box U</t>
  </si>
  <si>
    <t>&lt;&lt;&lt; Box V</t>
  </si>
  <si>
    <t>2023-2024 Compensation Calculations for a Continuing Call</t>
  </si>
  <si>
    <t>Section 3</t>
  </si>
  <si>
    <t>Section 3a</t>
  </si>
  <si>
    <t>Section 3b</t>
  </si>
  <si>
    <t>&lt;&lt;&lt; Box W</t>
  </si>
  <si>
    <t>Value transferred from cell Box I.</t>
  </si>
  <si>
    <t>Value transferred from Box Q</t>
  </si>
  <si>
    <t>Sum of Box Q and Box W</t>
  </si>
  <si>
    <t>If the benchmark calculations were completed below, the calculated results are transferred here.
At a minimum, values must be added for years of experience (Box P) and years in current call (Box R).</t>
  </si>
  <si>
    <r>
      <t>The median home price at the time of the rostered ministers call has been transferred from Box C above.</t>
    </r>
    <r>
      <rPr>
        <sz val="6"/>
        <color theme="1"/>
        <rFont val="Times New Roman"/>
        <family val="1"/>
      </rPr>
      <t xml:space="preserve">
</t>
    </r>
    <r>
      <rPr>
        <sz val="12"/>
        <color theme="1"/>
        <rFont val="Times New Roman"/>
        <family val="1"/>
      </rPr>
      <t>If this number exceeds $100,000 (cost of housing considered within Base Salary), the amount that exceeds $100,000 will be multiplied by 8% and then added to the baseline salary to adjust for the higher costs of purchasing a home in that area.</t>
    </r>
  </si>
  <si>
    <t>Enter the number of years of service as a pastor or deacon (up to a maximum of 40) in Box P.
The number of years of experience is multiplied by $400 to determine the Experience Adjustment to Baseline Salary.</t>
  </si>
  <si>
    <r>
      <rPr>
        <b/>
        <sz val="12"/>
        <color theme="1"/>
        <rFont val="Times New Roman"/>
        <family val="1"/>
      </rPr>
      <t xml:space="preserve">Box Q is the "Adjusted Baseline Salary" for your congregation. </t>
    </r>
    <r>
      <rPr>
        <sz val="12"/>
        <color theme="1"/>
        <rFont val="Times New Roman"/>
        <family val="1"/>
      </rPr>
      <t>(Note: for some congregations, current salaries may be below this number. If such is the case, the Synod recommends developing a specific and mutually-agreeable written plan to bring salary up to this minimum baseline. If Council, Congregation, or Pastor/Deacon need assistance in this matter, both synodical staff and the synod’s “Compensation Consultants” are able to assist.)</t>
    </r>
  </si>
  <si>
    <t>In this step, the Local Housing Cost and Experience Adjustments are added to the Baseline Salary to determe the Adjusted Baseline Salary for a pastor or deacon serving in your congregation. Such factors as position, longevity, and additional degree work will be considered in Section 3b below.</t>
  </si>
  <si>
    <t>Credit one point for each year of service in one’s current call in Box E. NOTE: in calculating total points in Box V, the value in Box R will be capped at a value of 10.</t>
  </si>
  <si>
    <t>Enter in Box S the years of prior experience in a related field for which credit is being given.
NOTE: the congregation and pastor/deacon are to discuss the relevance of prior experience and agree to a full or fractional value for that experience.</t>
  </si>
  <si>
    <t>Credit is given (5 points) to those who have taken the time and made the commitment to earn a degree beyond the minimum Masters level required of a pastor or deacon. (such as M.Th., D.Min., P.H.D., S.T.M., etc.) If such is the case, enter 5 points for furthered education in Box U.</t>
  </si>
  <si>
    <t>The credits in Boxes R through U are added together to create a “point total” for Box V.</t>
  </si>
  <si>
    <t>The number recorded in Box V, multiplied by the range modifier described to the left, generates the spread of your appropriate benchmark salary range.</t>
  </si>
  <si>
    <t>Boxes R through U seek to quantify the value of experience, responsibilities, and education a rostered minister may possess. These factors will become a basis for possible adjustment to salary.</t>
  </si>
  <si>
    <r>
      <rPr>
        <b/>
        <sz val="12"/>
        <color rgb="FFC00000"/>
        <rFont val="Calibri"/>
        <family val="2"/>
        <scheme val="minor"/>
      </rPr>
      <t>NOTE:</t>
    </r>
    <r>
      <rPr>
        <sz val="12"/>
        <color rgb="FFC00000"/>
        <rFont val="Calibri"/>
        <family val="2"/>
        <scheme val="minor"/>
      </rPr>
      <t xml:space="preserve"> If errors are found in this worksheet - or you have difficulty in using it - please contact Pastor Mitch Phillips at the Northeastern Ohio Synod office (330-929-9022 ext 28) or via e-mail (mphillips@neos-elca.org). This worksheet will be corrected and revised as needed throughout the year.</t>
    </r>
  </si>
  <si>
    <t>Corrected cell C19 in "Benefits &amp; Expenses" tab to carry over SSO from "Compensation Calculations" tab instead of calculating off the cell above - the sheet was calculating SSO for deacons.</t>
  </si>
  <si>
    <t>How we got to the baseline salary:</t>
  </si>
  <si>
    <t>Added a column for Notes/Comments on the Compensation Calculations page to provide unlocked cells to the end users to add their own comments and notes.</t>
  </si>
  <si>
    <t>2022 Guidelines</t>
  </si>
  <si>
    <t>Added sheet for continuing call calculations</t>
  </si>
  <si>
    <t>Housing</t>
  </si>
  <si>
    <t>A fair approach to determining the housing and utilities allowance is:
a. One percent per month of the reasonable market value of a house within the general community in which the congregation resides, plus
b. The cost of utilities for such a home, plus
c. The difference in cost for the rental value of such a home furnished as compared to rental value of such a home unfurnished.
A realtor can help determine this figure. This allowance is to cover the mortgage payments, taxes, insurance, utilities, furnishings, and maintenance of the house.</t>
  </si>
  <si>
    <t>Made it one calculations tab focused on continuing calls with a benchmarking section.</t>
  </si>
  <si>
    <t>2023 Standards</t>
  </si>
  <si>
    <t>Pastors</t>
  </si>
  <si>
    <t>Deacons</t>
  </si>
  <si>
    <t>Mort Rate</t>
  </si>
  <si>
    <t>Final edits made for presentation to synod assembly</t>
  </si>
  <si>
    <t>Price</t>
  </si>
  <si>
    <t>12 mos</t>
  </si>
  <si>
    <t>per $100K</t>
  </si>
  <si>
    <t>Housing component based on $100,000 home</t>
  </si>
  <si>
    <t>10% Down</t>
  </si>
  <si>
    <t>1% per month</t>
  </si>
  <si>
    <t>20% Down</t>
  </si>
  <si>
    <t>Avg Utilities</t>
  </si>
  <si>
    <t>Taxes (1.25%)</t>
  </si>
  <si>
    <t>Insurance</t>
  </si>
  <si>
    <t>Pastor</t>
  </si>
  <si>
    <t>Deacon (90%)</t>
  </si>
  <si>
    <t>Alloc to ~fixed costs</t>
  </si>
  <si>
    <t>Subject to COLA</t>
  </si>
  <si>
    <t>Sum for Pastor</t>
  </si>
  <si>
    <t>Sum for Deacon</t>
  </si>
  <si>
    <t>Comp Stds Pastor</t>
  </si>
  <si>
    <t>Comp Stds Deacon</t>
  </si>
  <si>
    <t>Merit increase:</t>
  </si>
  <si>
    <t>Incentive increase:</t>
  </si>
  <si>
    <t>Merit increases may be given for ministry accomplishments and/or through an annual review of the rostered staff member’s ministry.</t>
  </si>
  <si>
    <t>Incentive increases may be given to reflect new expectations of additional effort or responsibility.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</si>
</sst>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m/d/yy;@"/>
  </numFmts>
  <fonts count="34" x14ac:knownFonts="1">
    <font>
      <sz val="11"/>
      <color theme="1"/>
      <name val="Calibri"/>
      <family val="2"/>
      <scheme val="minor"/>
    </font>
    <font>
      <b/>
      <sz val="11"/>
      <color theme="1"/>
      <name val="Calibri"/>
      <family val="2"/>
      <scheme val="minor"/>
    </font>
    <font>
      <b/>
      <sz val="14"/>
      <color theme="1"/>
      <name val="Arial"/>
      <family val="2"/>
    </font>
    <font>
      <b/>
      <u/>
      <sz val="14"/>
      <color theme="1"/>
      <name val="Arial"/>
      <family val="2"/>
    </font>
    <font>
      <sz val="11"/>
      <color theme="1"/>
      <name val="Times New Roman"/>
      <family val="1"/>
    </font>
    <font>
      <i/>
      <sz val="11"/>
      <color theme="1"/>
      <name val="Times New Roman"/>
      <family val="1"/>
    </font>
    <font>
      <sz val="12"/>
      <color theme="1"/>
      <name val="Times New Roman"/>
      <family val="1"/>
    </font>
    <font>
      <b/>
      <sz val="12"/>
      <color theme="1"/>
      <name val="Times New Roman"/>
      <family val="1"/>
    </font>
    <font>
      <i/>
      <sz val="12"/>
      <color theme="1"/>
      <name val="Times New Roman"/>
      <family val="1"/>
    </font>
    <font>
      <u/>
      <sz val="11"/>
      <color theme="1"/>
      <name val="Times New Roman"/>
      <family val="1"/>
    </font>
    <font>
      <b/>
      <sz val="12"/>
      <color theme="1"/>
      <name val="Arial"/>
      <family val="2"/>
    </font>
    <font>
      <b/>
      <sz val="13"/>
      <color theme="1"/>
      <name val="Times New Roman"/>
      <family val="1"/>
    </font>
    <font>
      <sz val="6"/>
      <color theme="1"/>
      <name val="Times New Roman"/>
      <family val="1"/>
    </font>
    <font>
      <b/>
      <sz val="6"/>
      <color theme="1"/>
      <name val="Times New Roman"/>
      <family val="1"/>
    </font>
    <font>
      <sz val="14"/>
      <color theme="1"/>
      <name val="Arial"/>
      <family val="2"/>
    </font>
    <font>
      <b/>
      <i/>
      <u/>
      <sz val="12"/>
      <color theme="1"/>
      <name val="Times New Roman"/>
      <family val="1"/>
    </font>
    <font>
      <b/>
      <sz val="24"/>
      <color theme="1"/>
      <name val="Times New Roman"/>
      <family val="1"/>
    </font>
    <font>
      <b/>
      <i/>
      <sz val="11"/>
      <color theme="1"/>
      <name val="Calibri"/>
      <family val="2"/>
      <scheme val="minor"/>
    </font>
    <font>
      <u/>
      <sz val="11"/>
      <color theme="10"/>
      <name val="Calibri"/>
      <family val="2"/>
      <scheme val="minor"/>
    </font>
    <font>
      <sz val="12"/>
      <color theme="1"/>
      <name val="Calibri"/>
      <family val="2"/>
      <scheme val="minor"/>
    </font>
    <font>
      <sz val="12"/>
      <color theme="1"/>
      <name val="Arial"/>
      <family val="2"/>
    </font>
    <font>
      <b/>
      <sz val="14"/>
      <color theme="1"/>
      <name val="Calibri"/>
      <family val="2"/>
      <scheme val="minor"/>
    </font>
    <font>
      <b/>
      <sz val="12"/>
      <color theme="1"/>
      <name val="Calibri"/>
      <family val="2"/>
      <scheme val="minor"/>
    </font>
    <font>
      <i/>
      <sz val="12"/>
      <color theme="1"/>
      <name val="Calibri"/>
      <family val="2"/>
      <scheme val="minor"/>
    </font>
    <font>
      <b/>
      <sz val="18"/>
      <color theme="1"/>
      <name val="Calibri"/>
      <family val="2"/>
      <scheme val="minor"/>
    </font>
    <font>
      <sz val="14"/>
      <color theme="1"/>
      <name val="Calibri"/>
      <family val="2"/>
      <scheme val="minor"/>
    </font>
    <font>
      <b/>
      <sz val="16"/>
      <color theme="1"/>
      <name val="Calibri"/>
      <family val="2"/>
      <scheme val="minor"/>
    </font>
    <font>
      <i/>
      <u/>
      <sz val="12"/>
      <color theme="1"/>
      <name val="Times New Roman"/>
      <family val="1"/>
    </font>
    <font>
      <b/>
      <sz val="18"/>
      <color theme="1"/>
      <name val="Arial"/>
      <family val="2"/>
    </font>
    <font>
      <b/>
      <sz val="16"/>
      <color theme="1"/>
      <name val="Arial"/>
      <family val="2"/>
    </font>
    <font>
      <sz val="14"/>
      <color rgb="FFFF0000"/>
      <name val="Arial"/>
      <family val="2"/>
    </font>
    <font>
      <sz val="12"/>
      <color rgb="FFC00000"/>
      <name val="Calibri"/>
      <family val="2"/>
      <scheme val="minor"/>
    </font>
    <font>
      <b/>
      <sz val="12"/>
      <color rgb="FFC00000"/>
      <name val="Calibri"/>
      <family val="2"/>
      <scheme val="minor"/>
    </font>
    <font>
      <sz val="12"/>
      <color rgb="FF000000"/>
      <name val="Calibri"/>
      <family val="2"/>
      <scheme val="minor"/>
    </font>
  </fonts>
  <fills count="11">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rgb="FF66FF99"/>
        <bgColor indexed="64"/>
      </patternFill>
    </fill>
    <fill>
      <patternFill patternType="solid">
        <fgColor rgb="FFFFCC99"/>
        <bgColor indexed="64"/>
      </patternFill>
    </fill>
    <fill>
      <patternFill patternType="solid">
        <fgColor rgb="FF66FFFF"/>
        <bgColor indexed="64"/>
      </patternFill>
    </fill>
    <fill>
      <patternFill patternType="solid">
        <fgColor rgb="FFFFCCCC"/>
        <bgColor indexed="64"/>
      </patternFill>
    </fill>
    <fill>
      <patternFill patternType="solid">
        <fgColor rgb="FFCCFFCC"/>
        <bgColor indexed="64"/>
      </patternFill>
    </fill>
    <fill>
      <patternFill patternType="solid">
        <fgColor rgb="FFCCCCFF"/>
        <bgColor indexed="64"/>
      </patternFill>
    </fill>
    <fill>
      <patternFill patternType="solid">
        <fgColor rgb="FFFFCCFF"/>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ck">
        <color rgb="FFC00000"/>
      </left>
      <right style="thick">
        <color rgb="FFC00000"/>
      </right>
      <top style="thick">
        <color rgb="FFC00000"/>
      </top>
      <bottom style="thick">
        <color rgb="FFC00000"/>
      </bottom>
      <diagonal/>
    </border>
    <border>
      <left style="thick">
        <color rgb="FFC00000"/>
      </left>
      <right style="thin">
        <color indexed="64"/>
      </right>
      <top style="thick">
        <color rgb="FFC00000"/>
      </top>
      <bottom style="thick">
        <color rgb="FFC00000"/>
      </bottom>
      <diagonal/>
    </border>
    <border>
      <left style="thin">
        <color indexed="64"/>
      </left>
      <right style="thin">
        <color indexed="64"/>
      </right>
      <top style="thick">
        <color rgb="FFC00000"/>
      </top>
      <bottom style="thick">
        <color rgb="FFC00000"/>
      </bottom>
      <diagonal/>
    </border>
    <border>
      <left style="thin">
        <color indexed="64"/>
      </left>
      <right style="thick">
        <color rgb="FFC00000"/>
      </right>
      <top style="thick">
        <color rgb="FFC00000"/>
      </top>
      <bottom style="thick">
        <color rgb="FFC00000"/>
      </bottom>
      <diagonal/>
    </border>
    <border>
      <left style="thin">
        <color indexed="64"/>
      </left>
      <right/>
      <top/>
      <bottom/>
      <diagonal/>
    </border>
  </borders>
  <cellStyleXfs count="2">
    <xf numFmtId="0" fontId="0" fillId="0" borderId="0"/>
    <xf numFmtId="0" fontId="18" fillId="0" borderId="0" applyNumberFormat="0" applyFill="0" applyBorder="0" applyAlignment="0" applyProtection="0"/>
  </cellStyleXfs>
  <cellXfs count="151">
    <xf numFmtId="0" fontId="0" fillId="0" borderId="0" xfId="0"/>
    <xf numFmtId="49" fontId="0" fillId="0" borderId="0" xfId="0" applyNumberFormat="1" applyAlignment="1">
      <alignment vertical="top" wrapText="1"/>
    </xf>
    <xf numFmtId="0" fontId="1" fillId="0" borderId="0" xfId="0" applyFont="1"/>
    <xf numFmtId="0" fontId="2" fillId="0" borderId="0" xfId="0" applyFont="1" applyAlignment="1">
      <alignment vertical="center"/>
    </xf>
    <xf numFmtId="0" fontId="0" fillId="0" borderId="0" xfId="0" applyAlignment="1">
      <alignment horizontal="center" vertical="center"/>
    </xf>
    <xf numFmtId="0" fontId="0" fillId="0" borderId="0" xfId="0" applyAlignment="1">
      <alignment horizontal="center"/>
    </xf>
    <xf numFmtId="49" fontId="2" fillId="2" borderId="1" xfId="0" applyNumberFormat="1" applyFont="1" applyFill="1" applyBorder="1" applyAlignment="1">
      <alignment vertical="center" wrapText="1"/>
    </xf>
    <xf numFmtId="49" fontId="2" fillId="2" borderId="1" xfId="0" applyNumberFormat="1" applyFont="1" applyFill="1" applyBorder="1" applyAlignment="1">
      <alignment horizontal="center" vertical="center" wrapText="1"/>
    </xf>
    <xf numFmtId="49" fontId="6" fillId="0" borderId="1" xfId="0" applyNumberFormat="1" applyFont="1" applyBorder="1" applyAlignment="1">
      <alignment vertical="top" wrapText="1"/>
    </xf>
    <xf numFmtId="49" fontId="2" fillId="0" borderId="1" xfId="0" applyNumberFormat="1" applyFont="1" applyBorder="1" applyAlignment="1">
      <alignment vertical="center" wrapText="1"/>
    </xf>
    <xf numFmtId="49" fontId="2" fillId="2" borderId="1" xfId="0" applyNumberFormat="1" applyFont="1" applyFill="1" applyBorder="1" applyAlignment="1">
      <alignment wrapText="1"/>
    </xf>
    <xf numFmtId="49" fontId="2" fillId="2" borderId="1" xfId="0" applyNumberFormat="1" applyFont="1" applyFill="1" applyBorder="1" applyAlignment="1">
      <alignment horizontal="center" wrapText="1"/>
    </xf>
    <xf numFmtId="3" fontId="14" fillId="0" borderId="1" xfId="0" applyNumberFormat="1" applyFont="1" applyBorder="1" applyAlignment="1">
      <alignment horizontal="center" vertical="center"/>
    </xf>
    <xf numFmtId="49" fontId="6" fillId="0" borderId="1" xfId="0" quotePrefix="1" applyNumberFormat="1" applyFont="1" applyBorder="1" applyAlignment="1">
      <alignment horizontal="right" vertical="center" wrapText="1" indent="2"/>
    </xf>
    <xf numFmtId="49" fontId="14" fillId="0" borderId="1" xfId="0" applyNumberFormat="1" applyFont="1" applyBorder="1" applyAlignment="1">
      <alignment horizontal="center" vertical="center" wrapText="1"/>
    </xf>
    <xf numFmtId="49" fontId="10" fillId="0" borderId="0" xfId="0" applyNumberFormat="1" applyFont="1" applyAlignment="1">
      <alignment vertical="top" wrapText="1"/>
    </xf>
    <xf numFmtId="49" fontId="6" fillId="0" borderId="0" xfId="0" applyNumberFormat="1" applyFont="1" applyAlignment="1">
      <alignment vertical="top" wrapText="1"/>
    </xf>
    <xf numFmtId="49" fontId="2" fillId="0" borderId="0" xfId="0" applyNumberFormat="1" applyFont="1" applyAlignment="1">
      <alignment vertical="center" wrapText="1"/>
    </xf>
    <xf numFmtId="3" fontId="14" fillId="0" borderId="0" xfId="0" applyNumberFormat="1" applyFont="1" applyAlignment="1">
      <alignment horizontal="center" vertical="center"/>
    </xf>
    <xf numFmtId="49" fontId="16" fillId="0" borderId="0" xfId="0" applyNumberFormat="1" applyFont="1" applyAlignment="1">
      <alignment vertical="center"/>
    </xf>
    <xf numFmtId="3" fontId="14" fillId="0" borderId="1" xfId="0" applyNumberFormat="1" applyFont="1" applyBorder="1" applyAlignment="1">
      <alignment horizontal="center" vertical="center" wrapText="1"/>
    </xf>
    <xf numFmtId="0" fontId="2" fillId="0" borderId="0" xfId="0" applyFont="1"/>
    <xf numFmtId="0" fontId="19" fillId="0" borderId="0" xfId="0" applyFont="1"/>
    <xf numFmtId="3" fontId="19" fillId="0" borderId="0" xfId="0" applyNumberFormat="1" applyFont="1"/>
    <xf numFmtId="0" fontId="21" fillId="0" borderId="0" xfId="0" applyFont="1"/>
    <xf numFmtId="0" fontId="19" fillId="0" borderId="0" xfId="0" applyFont="1" applyAlignment="1">
      <alignment horizontal="right"/>
    </xf>
    <xf numFmtId="3" fontId="19" fillId="0" borderId="6" xfId="0" applyNumberFormat="1" applyFont="1" applyBorder="1"/>
    <xf numFmtId="0" fontId="22" fillId="0" borderId="0" xfId="0" applyFont="1" applyAlignment="1">
      <alignment horizontal="right"/>
    </xf>
    <xf numFmtId="3" fontId="22" fillId="0" borderId="0" xfId="0" applyNumberFormat="1" applyFont="1"/>
    <xf numFmtId="0" fontId="18" fillId="0" borderId="0" xfId="1"/>
    <xf numFmtId="0" fontId="23" fillId="0" borderId="0" xfId="0" applyFont="1"/>
    <xf numFmtId="3" fontId="19" fillId="0" borderId="7" xfId="0" applyNumberFormat="1" applyFont="1" applyBorder="1"/>
    <xf numFmtId="0" fontId="22" fillId="0" borderId="0" xfId="0" applyFont="1" applyAlignment="1">
      <alignment horizontal="left"/>
    </xf>
    <xf numFmtId="3" fontId="23" fillId="0" borderId="0" xfId="0" applyNumberFormat="1" applyFont="1"/>
    <xf numFmtId="0" fontId="24" fillId="0" borderId="0" xfId="0" applyFont="1"/>
    <xf numFmtId="3" fontId="25" fillId="0" borderId="0" xfId="0" applyNumberFormat="1" applyFont="1"/>
    <xf numFmtId="0" fontId="25" fillId="0" borderId="0" xfId="0" applyFont="1"/>
    <xf numFmtId="0" fontId="26" fillId="0" borderId="0" xfId="0" applyFont="1"/>
    <xf numFmtId="3" fontId="25" fillId="0" borderId="4" xfId="0" applyNumberFormat="1" applyFont="1" applyBorder="1"/>
    <xf numFmtId="3" fontId="21" fillId="0" borderId="0" xfId="0" applyNumberFormat="1" applyFont="1"/>
    <xf numFmtId="3" fontId="26" fillId="0" borderId="0" xfId="0" applyNumberFormat="1" applyFont="1"/>
    <xf numFmtId="0" fontId="20" fillId="0" borderId="0" xfId="0" applyFont="1" applyAlignment="1">
      <alignment vertical="top" wrapText="1"/>
    </xf>
    <xf numFmtId="49" fontId="2" fillId="4" borderId="1" xfId="0" applyNumberFormat="1" applyFont="1" applyFill="1" applyBorder="1" applyAlignment="1" applyProtection="1">
      <alignment horizontal="center" vertical="center" wrapText="1"/>
      <protection locked="0"/>
    </xf>
    <xf numFmtId="49" fontId="2" fillId="5" borderId="1" xfId="0" applyNumberFormat="1" applyFont="1" applyFill="1" applyBorder="1" applyAlignment="1" applyProtection="1">
      <alignment horizontal="center" vertical="center" wrapText="1"/>
      <protection locked="0"/>
    </xf>
    <xf numFmtId="3" fontId="14" fillId="3" borderId="1" xfId="0" applyNumberFormat="1" applyFont="1" applyFill="1" applyBorder="1" applyAlignment="1" applyProtection="1">
      <alignment horizontal="center" vertical="center"/>
      <protection locked="0"/>
    </xf>
    <xf numFmtId="3" fontId="19" fillId="6" borderId="0" xfId="0" applyNumberFormat="1" applyFont="1" applyFill="1" applyProtection="1">
      <protection locked="0"/>
    </xf>
    <xf numFmtId="3" fontId="19" fillId="6" borderId="4" xfId="0" applyNumberFormat="1" applyFont="1" applyFill="1" applyBorder="1" applyProtection="1">
      <protection locked="0"/>
    </xf>
    <xf numFmtId="0" fontId="19" fillId="0" borderId="0" xfId="0" applyFont="1" applyAlignment="1" applyProtection="1">
      <alignment horizontal="right"/>
      <protection locked="0"/>
    </xf>
    <xf numFmtId="3" fontId="19" fillId="0" borderId="0" xfId="0" applyNumberFormat="1" applyFont="1" applyAlignment="1">
      <alignment horizontal="right"/>
    </xf>
    <xf numFmtId="3" fontId="19" fillId="7" borderId="0" xfId="0" applyNumberFormat="1" applyFont="1" applyFill="1"/>
    <xf numFmtId="0" fontId="19" fillId="7" borderId="0" xfId="0" applyFont="1" applyFill="1"/>
    <xf numFmtId="3" fontId="19" fillId="7" borderId="6" xfId="0" applyNumberFormat="1" applyFont="1" applyFill="1" applyBorder="1"/>
    <xf numFmtId="3" fontId="22" fillId="7" borderId="0" xfId="0" applyNumberFormat="1" applyFont="1" applyFill="1"/>
    <xf numFmtId="3" fontId="19" fillId="5" borderId="6" xfId="0" applyNumberFormat="1" applyFont="1" applyFill="1" applyBorder="1"/>
    <xf numFmtId="3" fontId="19" fillId="5" borderId="4" xfId="0" applyNumberFormat="1" applyFont="1" applyFill="1" applyBorder="1"/>
    <xf numFmtId="0" fontId="25" fillId="0" borderId="0" xfId="0" applyFont="1" applyAlignment="1">
      <alignment horizontal="right"/>
    </xf>
    <xf numFmtId="0" fontId="21" fillId="0" borderId="0" xfId="0" applyFont="1" applyAlignment="1">
      <alignment horizontal="right"/>
    </xf>
    <xf numFmtId="0" fontId="26" fillId="0" borderId="0" xfId="0" applyFont="1" applyAlignment="1">
      <alignment horizontal="right"/>
    </xf>
    <xf numFmtId="0" fontId="25" fillId="0" borderId="8" xfId="0" applyFont="1" applyBorder="1"/>
    <xf numFmtId="9" fontId="25" fillId="0" borderId="8" xfId="0" applyNumberFormat="1" applyFont="1" applyBorder="1"/>
    <xf numFmtId="3" fontId="25" fillId="0" borderId="8" xfId="0" applyNumberFormat="1" applyFont="1" applyBorder="1"/>
    <xf numFmtId="3" fontId="21" fillId="0" borderId="8" xfId="0" applyNumberFormat="1" applyFont="1" applyBorder="1"/>
    <xf numFmtId="3" fontId="21" fillId="0" borderId="3" xfId="0" applyNumberFormat="1" applyFont="1" applyBorder="1"/>
    <xf numFmtId="3" fontId="21" fillId="0" borderId="6" xfId="0" applyNumberFormat="1" applyFont="1" applyBorder="1"/>
    <xf numFmtId="0" fontId="25" fillId="0" borderId="9" xfId="0" applyFont="1" applyBorder="1"/>
    <xf numFmtId="0" fontId="25" fillId="0" borderId="10" xfId="0" applyFont="1" applyBorder="1"/>
    <xf numFmtId="0" fontId="25" fillId="0" borderId="5" xfId="0" applyFont="1" applyBorder="1"/>
    <xf numFmtId="0" fontId="25" fillId="0" borderId="11" xfId="0" applyFont="1" applyBorder="1" applyAlignment="1">
      <alignment vertical="center"/>
    </xf>
    <xf numFmtId="0" fontId="19" fillId="0" borderId="12" xfId="0" applyFont="1" applyBorder="1"/>
    <xf numFmtId="0" fontId="19" fillId="0" borderId="13" xfId="0" applyFont="1" applyBorder="1"/>
    <xf numFmtId="0" fontId="19" fillId="0" borderId="14" xfId="0" applyFont="1" applyBorder="1"/>
    <xf numFmtId="0" fontId="19" fillId="0" borderId="15" xfId="0" applyFont="1" applyBorder="1"/>
    <xf numFmtId="0" fontId="19" fillId="0" borderId="16" xfId="0" applyFont="1" applyBorder="1"/>
    <xf numFmtId="9" fontId="19" fillId="5" borderId="0" xfId="0" applyNumberFormat="1" applyFont="1" applyFill="1" applyAlignment="1">
      <alignment horizontal="right"/>
    </xf>
    <xf numFmtId="3" fontId="19" fillId="5" borderId="0" xfId="0" applyNumberFormat="1" applyFont="1" applyFill="1"/>
    <xf numFmtId="0" fontId="19" fillId="5" borderId="0" xfId="0" applyFont="1" applyFill="1"/>
    <xf numFmtId="3" fontId="22" fillId="5" borderId="0" xfId="0" applyNumberFormat="1" applyFont="1" applyFill="1"/>
    <xf numFmtId="0" fontId="19" fillId="0" borderId="17" xfId="0" applyFont="1" applyBorder="1"/>
    <xf numFmtId="0" fontId="19" fillId="0" borderId="7" xfId="0" applyFont="1" applyBorder="1"/>
    <xf numFmtId="0" fontId="19" fillId="0" borderId="18" xfId="0" applyFont="1" applyBorder="1"/>
    <xf numFmtId="9" fontId="19" fillId="7" borderId="19" xfId="0" applyNumberFormat="1" applyFont="1" applyFill="1" applyBorder="1" applyProtection="1">
      <protection locked="0"/>
    </xf>
    <xf numFmtId="9" fontId="19" fillId="5" borderId="19" xfId="0" applyNumberFormat="1" applyFont="1" applyFill="1" applyBorder="1" applyProtection="1">
      <protection locked="0"/>
    </xf>
    <xf numFmtId="0" fontId="25" fillId="0" borderId="6" xfId="0" applyFont="1" applyBorder="1"/>
    <xf numFmtId="0" fontId="19" fillId="0" borderId="0" xfId="0" applyFont="1" applyAlignment="1">
      <alignment vertical="top" wrapText="1"/>
    </xf>
    <xf numFmtId="0" fontId="28" fillId="0" borderId="0" xfId="0" applyFont="1"/>
    <xf numFmtId="0" fontId="29" fillId="0" borderId="0" xfId="0" applyFont="1" applyAlignment="1">
      <alignment vertical="top"/>
    </xf>
    <xf numFmtId="0" fontId="19" fillId="0" borderId="0" xfId="0" applyFont="1" applyAlignment="1">
      <alignment vertical="top"/>
    </xf>
    <xf numFmtId="0" fontId="22" fillId="0" borderId="0" xfId="0" applyFont="1" applyAlignment="1">
      <alignment vertical="top"/>
    </xf>
    <xf numFmtId="0" fontId="14" fillId="3" borderId="1" xfId="0" applyFont="1" applyFill="1" applyBorder="1" applyAlignment="1" applyProtection="1">
      <alignment horizontal="left" vertical="center" wrapText="1"/>
      <protection locked="0"/>
    </xf>
    <xf numFmtId="49" fontId="6" fillId="0" borderId="0" xfId="0" quotePrefix="1" applyNumberFormat="1" applyFont="1" applyAlignment="1">
      <alignment horizontal="right" vertical="center" wrapText="1" indent="2"/>
    </xf>
    <xf numFmtId="0" fontId="0" fillId="0" borderId="0" xfId="0" applyAlignment="1">
      <alignment vertical="center" wrapText="1"/>
    </xf>
    <xf numFmtId="49" fontId="2" fillId="0" borderId="0" xfId="0" applyNumberFormat="1" applyFont="1" applyAlignment="1" applyProtection="1">
      <alignment horizontal="center" vertical="center" wrapText="1"/>
      <protection locked="0"/>
    </xf>
    <xf numFmtId="49" fontId="2" fillId="9" borderId="0" xfId="0" applyNumberFormat="1" applyFont="1" applyFill="1" applyAlignment="1" applyProtection="1">
      <alignment horizontal="center" vertical="center" wrapText="1"/>
      <protection locked="0"/>
    </xf>
    <xf numFmtId="49" fontId="2" fillId="9" borderId="0" xfId="0" applyNumberFormat="1" applyFont="1" applyFill="1" applyAlignment="1">
      <alignment horizontal="left" vertical="center"/>
    </xf>
    <xf numFmtId="49" fontId="10" fillId="0" borderId="1" xfId="0" applyNumberFormat="1" applyFont="1" applyBorder="1" applyAlignment="1">
      <alignment horizontal="center" vertical="center" wrapText="1"/>
    </xf>
    <xf numFmtId="164" fontId="14" fillId="0" borderId="1" xfId="0" applyNumberFormat="1" applyFont="1" applyBorder="1" applyAlignment="1" applyProtection="1">
      <alignment horizontal="center" vertical="center" wrapText="1"/>
      <protection locked="0"/>
    </xf>
    <xf numFmtId="49" fontId="6" fillId="0" borderId="1" xfId="0" applyNumberFormat="1" applyFont="1" applyBorder="1" applyAlignment="1">
      <alignment vertical="center" wrapText="1"/>
    </xf>
    <xf numFmtId="3" fontId="6" fillId="0" borderId="1" xfId="0" quotePrefix="1" applyNumberFormat="1" applyFont="1" applyBorder="1" applyAlignment="1">
      <alignment horizontal="right" vertical="center" indent="2"/>
    </xf>
    <xf numFmtId="49" fontId="7" fillId="9" borderId="0" xfId="0" quotePrefix="1" applyNumberFormat="1" applyFont="1" applyFill="1" applyAlignment="1">
      <alignment vertical="center"/>
    </xf>
    <xf numFmtId="0" fontId="2" fillId="9" borderId="0" xfId="0" applyFont="1" applyFill="1" applyAlignment="1">
      <alignment horizontal="center" vertical="center"/>
    </xf>
    <xf numFmtId="3" fontId="14" fillId="0" borderId="1" xfId="0" applyNumberFormat="1" applyFont="1" applyBorder="1" applyAlignment="1" applyProtection="1">
      <alignment horizontal="center" vertical="center"/>
      <protection locked="0"/>
    </xf>
    <xf numFmtId="3" fontId="6" fillId="0" borderId="0" xfId="0" quotePrefix="1" applyNumberFormat="1" applyFont="1" applyAlignment="1">
      <alignment horizontal="right" vertical="center" indent="2"/>
    </xf>
    <xf numFmtId="164" fontId="14" fillId="0" borderId="0" xfId="0" applyNumberFormat="1" applyFont="1" applyAlignment="1" applyProtection="1">
      <alignment horizontal="center" vertical="center" wrapText="1"/>
      <protection locked="0"/>
    </xf>
    <xf numFmtId="0" fontId="14" fillId="0" borderId="0" xfId="0" applyFont="1" applyAlignment="1" applyProtection="1">
      <alignment horizontal="left" vertical="center" wrapText="1"/>
      <protection locked="0"/>
    </xf>
    <xf numFmtId="49" fontId="2" fillId="9" borderId="0" xfId="0" applyNumberFormat="1" applyFont="1" applyFill="1" applyAlignment="1">
      <alignment vertical="center" wrapText="1"/>
    </xf>
    <xf numFmtId="49" fontId="2" fillId="9" borderId="0" xfId="0" applyNumberFormat="1" applyFont="1" applyFill="1" applyAlignment="1">
      <alignment horizontal="center" vertical="center" wrapText="1"/>
    </xf>
    <xf numFmtId="0" fontId="2" fillId="9" borderId="0" xfId="0" applyFont="1" applyFill="1" applyAlignment="1">
      <alignment horizontal="center" vertical="center" wrapText="1"/>
    </xf>
    <xf numFmtId="0" fontId="22" fillId="3" borderId="0" xfId="0" applyFont="1" applyFill="1" applyAlignment="1">
      <alignment horizontal="center" vertical="center" wrapText="1"/>
    </xf>
    <xf numFmtId="0" fontId="22" fillId="8" borderId="0" xfId="0" applyFont="1" applyFill="1" applyAlignment="1">
      <alignment horizontal="center" vertical="center" wrapText="1"/>
    </xf>
    <xf numFmtId="0" fontId="22" fillId="9" borderId="0" xfId="0" applyFont="1" applyFill="1" applyAlignment="1">
      <alignment horizontal="center" vertical="center"/>
    </xf>
    <xf numFmtId="0" fontId="22" fillId="5" borderId="0" xfId="0" applyFont="1" applyFill="1" applyAlignment="1">
      <alignment horizontal="center" vertical="center" wrapText="1"/>
    </xf>
    <xf numFmtId="14" fontId="19" fillId="0" borderId="0" xfId="0" applyNumberFormat="1" applyFont="1" applyAlignment="1">
      <alignment vertical="top"/>
    </xf>
    <xf numFmtId="0" fontId="19" fillId="0" borderId="0" xfId="0" applyFont="1" applyAlignment="1">
      <alignment horizontal="left" vertical="top" wrapText="1"/>
    </xf>
    <xf numFmtId="49" fontId="2" fillId="9" borderId="0" xfId="0" applyNumberFormat="1" applyFont="1" applyFill="1" applyAlignment="1">
      <alignment vertical="center"/>
    </xf>
    <xf numFmtId="165" fontId="19" fillId="0" borderId="0" xfId="0" applyNumberFormat="1" applyFont="1" applyAlignment="1">
      <alignment vertical="top"/>
    </xf>
    <xf numFmtId="0" fontId="33" fillId="0" borderId="0" xfId="0" applyFont="1"/>
    <xf numFmtId="3" fontId="33" fillId="0" borderId="0" xfId="0" applyNumberFormat="1" applyFont="1"/>
    <xf numFmtId="3" fontId="19" fillId="0" borderId="0" xfId="0" applyNumberFormat="1" applyFont="1" applyAlignment="1">
      <alignment horizontal="right" vertical="center"/>
    </xf>
    <xf numFmtId="0" fontId="22" fillId="0" borderId="0" xfId="0" applyFont="1"/>
    <xf numFmtId="3" fontId="33" fillId="0" borderId="0" xfId="0" applyNumberFormat="1" applyFont="1" applyAlignment="1">
      <alignment horizontal="right"/>
    </xf>
    <xf numFmtId="0" fontId="33" fillId="0" borderId="0" xfId="0" applyFont="1" applyAlignment="1">
      <alignment horizontal="right"/>
    </xf>
    <xf numFmtId="164" fontId="19" fillId="0" borderId="0" xfId="0" applyNumberFormat="1" applyFont="1"/>
    <xf numFmtId="0" fontId="33" fillId="0" borderId="0" xfId="0" applyFont="1" applyAlignment="1">
      <alignment horizontal="left"/>
    </xf>
    <xf numFmtId="40" fontId="19" fillId="0" borderId="0" xfId="0" applyNumberFormat="1" applyFont="1"/>
    <xf numFmtId="38" fontId="19" fillId="0" borderId="0" xfId="0" applyNumberFormat="1" applyFont="1"/>
    <xf numFmtId="10" fontId="19" fillId="0" borderId="0" xfId="0" applyNumberFormat="1" applyFont="1"/>
    <xf numFmtId="3" fontId="33" fillId="0" borderId="4" xfId="0" applyNumberFormat="1" applyFont="1" applyBorder="1"/>
    <xf numFmtId="3" fontId="19" fillId="0" borderId="4" xfId="0" applyNumberFormat="1" applyFont="1" applyBorder="1"/>
    <xf numFmtId="9" fontId="19" fillId="0" borderId="0" xfId="0" applyNumberFormat="1" applyFont="1"/>
    <xf numFmtId="0" fontId="19" fillId="0" borderId="0" xfId="0" applyFont="1" applyAlignment="1">
      <alignment vertical="top" wrapText="1"/>
    </xf>
    <xf numFmtId="0" fontId="0" fillId="0" borderId="0" xfId="0" applyAlignment="1">
      <alignment vertical="top" wrapText="1"/>
    </xf>
    <xf numFmtId="0" fontId="31" fillId="0" borderId="0" xfId="0" applyFont="1" applyAlignment="1">
      <alignment horizontal="left" vertical="top" wrapText="1"/>
    </xf>
    <xf numFmtId="0" fontId="30" fillId="0" borderId="23" xfId="0" applyFont="1" applyBorder="1" applyAlignment="1">
      <alignment horizontal="center" vertical="center" wrapText="1"/>
    </xf>
    <xf numFmtId="49" fontId="10" fillId="10" borderId="4" xfId="0" applyNumberFormat="1" applyFont="1" applyFill="1" applyBorder="1" applyAlignment="1">
      <alignment horizontal="left" vertical="center" wrapText="1"/>
    </xf>
    <xf numFmtId="49" fontId="6" fillId="0" borderId="1" xfId="0" applyNumberFormat="1" applyFont="1" applyBorder="1" applyAlignment="1">
      <alignment vertical="top" wrapText="1"/>
    </xf>
    <xf numFmtId="49" fontId="17" fillId="3" borderId="0" xfId="0" applyNumberFormat="1" applyFont="1" applyFill="1" applyAlignment="1">
      <alignment horizontal="center" vertical="center" wrapText="1"/>
    </xf>
    <xf numFmtId="49" fontId="10" fillId="0" borderId="2" xfId="0" applyNumberFormat="1" applyFont="1" applyBorder="1" applyAlignment="1">
      <alignment horizontal="center" vertical="center" wrapText="1"/>
    </xf>
    <xf numFmtId="49" fontId="10" fillId="0" borderId="3" xfId="0" applyNumberFormat="1" applyFont="1" applyBorder="1" applyAlignment="1">
      <alignment horizontal="center" vertical="center" wrapText="1"/>
    </xf>
    <xf numFmtId="49" fontId="6" fillId="0" borderId="2" xfId="0" applyNumberFormat="1" applyFont="1" applyBorder="1" applyAlignment="1">
      <alignment vertical="top" wrapText="1"/>
    </xf>
    <xf numFmtId="49" fontId="6" fillId="0" borderId="3" xfId="0" applyNumberFormat="1" applyFont="1" applyBorder="1" applyAlignment="1">
      <alignment vertical="top" wrapText="1"/>
    </xf>
    <xf numFmtId="0" fontId="0" fillId="0" borderId="2" xfId="0" applyBorder="1" applyAlignment="1">
      <alignment vertical="center" wrapText="1"/>
    </xf>
    <xf numFmtId="0" fontId="0" fillId="0" borderId="3" xfId="0" applyBorder="1" applyAlignment="1">
      <alignment vertical="center" wrapText="1"/>
    </xf>
    <xf numFmtId="49" fontId="7" fillId="9" borderId="0" xfId="0" quotePrefix="1" applyNumberFormat="1" applyFont="1" applyFill="1" applyAlignment="1">
      <alignment horizontal="left" vertical="center" wrapText="1"/>
    </xf>
    <xf numFmtId="49" fontId="6" fillId="0" borderId="2" xfId="0" applyNumberFormat="1" applyFont="1" applyBorder="1" applyAlignment="1">
      <alignment horizontal="left" vertical="center" wrapText="1"/>
    </xf>
    <xf numFmtId="49" fontId="6" fillId="0" borderId="3" xfId="0" applyNumberFormat="1" applyFont="1" applyBorder="1" applyAlignment="1">
      <alignment horizontal="left" vertical="center" wrapText="1"/>
    </xf>
    <xf numFmtId="0" fontId="20" fillId="0" borderId="0" xfId="0" applyFont="1" applyAlignment="1">
      <alignment vertical="top" wrapText="1"/>
    </xf>
    <xf numFmtId="0" fontId="19" fillId="5" borderId="20" xfId="0" applyFont="1" applyFill="1" applyBorder="1" applyProtection="1">
      <protection locked="0"/>
    </xf>
    <xf numFmtId="0" fontId="19" fillId="5" borderId="21" xfId="0" applyFont="1" applyFill="1" applyBorder="1" applyProtection="1">
      <protection locked="0"/>
    </xf>
    <xf numFmtId="0" fontId="19" fillId="5" borderId="22" xfId="0" applyFont="1" applyFill="1" applyBorder="1" applyProtection="1">
      <protection locked="0"/>
    </xf>
    <xf numFmtId="0" fontId="33" fillId="0" borderId="0" xfId="0" applyFont="1" applyAlignment="1">
      <alignment horizontal="left" vertical="top" wrapText="1"/>
    </xf>
    <xf numFmtId="49" fontId="8" fillId="0" borderId="0" xfId="0" applyNumberFormat="1" applyFont="1" applyBorder="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colors>
    <mruColors>
      <color rgb="FFCCFFFF"/>
      <color rgb="FFCCCCFF"/>
      <color rgb="FFFFCCFF"/>
      <color rgb="FFFF99FF"/>
      <color rgb="FFFFCCCC"/>
      <color rgb="FFFFCC99"/>
      <color rgb="FFCCFFCC"/>
      <color rgb="FFFFFFCC"/>
      <color rgb="FF66FFFF"/>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employerlink.porticobenefits.org/resources/calculators/benefit-costs-calculator"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454C2-FB3D-4182-A780-D4816937C7C5}">
  <sheetPr>
    <tabColor rgb="FFFFCCCC"/>
  </sheetPr>
  <dimension ref="A1:I19"/>
  <sheetViews>
    <sheetView workbookViewId="0">
      <selection activeCell="D1" sqref="D1"/>
    </sheetView>
  </sheetViews>
  <sheetFormatPr defaultColWidth="9.140625" defaultRowHeight="15.75" x14ac:dyDescent="0.25"/>
  <cols>
    <col min="1" max="1" width="28.28515625" style="86" customWidth="1"/>
    <col min="2" max="2" width="62" style="86" customWidth="1"/>
    <col min="3" max="16384" width="9.140625" style="22"/>
  </cols>
  <sheetData>
    <row r="1" spans="1:9" ht="20.25" x14ac:dyDescent="0.25">
      <c r="A1" s="85" t="s">
        <v>116</v>
      </c>
    </row>
    <row r="2" spans="1:9" ht="20.25" x14ac:dyDescent="0.25">
      <c r="A2" s="85" t="s">
        <v>155</v>
      </c>
    </row>
    <row r="4" spans="1:9" ht="102" customHeight="1" x14ac:dyDescent="0.25">
      <c r="A4" s="129" t="s">
        <v>156</v>
      </c>
      <c r="B4" s="130"/>
      <c r="C4" s="83"/>
      <c r="D4" s="83"/>
      <c r="E4" s="83"/>
      <c r="F4" s="83"/>
      <c r="G4" s="83"/>
      <c r="H4" s="83"/>
      <c r="I4" s="83"/>
    </row>
    <row r="6" spans="1:9" ht="63" x14ac:dyDescent="0.25">
      <c r="A6" s="107" t="s">
        <v>153</v>
      </c>
      <c r="B6" s="83" t="s">
        <v>154</v>
      </c>
    </row>
    <row r="7" spans="1:9" x14ac:dyDescent="0.25">
      <c r="A7" s="87"/>
    </row>
    <row r="8" spans="1:9" ht="86.25" customHeight="1" x14ac:dyDescent="0.25">
      <c r="A8" s="108" t="s">
        <v>117</v>
      </c>
      <c r="B8" s="83" t="s">
        <v>121</v>
      </c>
    </row>
    <row r="9" spans="1:9" x14ac:dyDescent="0.25">
      <c r="A9" s="87"/>
    </row>
    <row r="10" spans="1:9" ht="54.75" customHeight="1" x14ac:dyDescent="0.25">
      <c r="A10" s="109" t="s">
        <v>115</v>
      </c>
      <c r="B10" s="83" t="s">
        <v>118</v>
      </c>
    </row>
    <row r="11" spans="1:9" x14ac:dyDescent="0.25">
      <c r="A11" s="87"/>
    </row>
    <row r="12" spans="1:9" ht="54.75" customHeight="1" x14ac:dyDescent="0.25">
      <c r="A12" s="110" t="s">
        <v>120</v>
      </c>
      <c r="B12" s="83" t="s">
        <v>119</v>
      </c>
    </row>
    <row r="14" spans="1:9" x14ac:dyDescent="0.25">
      <c r="A14" s="131" t="s">
        <v>189</v>
      </c>
      <c r="B14" s="131"/>
    </row>
    <row r="15" spans="1:9" ht="15.75" customHeight="1" x14ac:dyDescent="0.25">
      <c r="A15" s="131"/>
      <c r="B15" s="131"/>
    </row>
    <row r="16" spans="1:9" x14ac:dyDescent="0.25">
      <c r="A16" s="131"/>
      <c r="B16" s="131"/>
    </row>
    <row r="17" spans="1:2" x14ac:dyDescent="0.25">
      <c r="A17" s="131"/>
      <c r="B17" s="131"/>
    </row>
    <row r="18" spans="1:2" x14ac:dyDescent="0.25">
      <c r="A18" s="112"/>
      <c r="B18" s="112"/>
    </row>
    <row r="19" spans="1:2" x14ac:dyDescent="0.25">
      <c r="A19" s="86" t="s">
        <v>159</v>
      </c>
      <c r="B19" s="111"/>
    </row>
  </sheetData>
  <mergeCells count="2">
    <mergeCell ref="A4:B4"/>
    <mergeCell ref="A14:B1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B6E76-7B78-43F9-9F20-553DFD376D78}">
  <sheetPr>
    <tabColor rgb="FFCCFFFF"/>
    <pageSetUpPr fitToPage="1"/>
  </sheetPr>
  <dimension ref="A1:F40"/>
  <sheetViews>
    <sheetView tabSelected="1" zoomScaleNormal="100" workbookViewId="0">
      <selection activeCell="D8" sqref="D8"/>
    </sheetView>
  </sheetViews>
  <sheetFormatPr defaultRowHeight="15" x14ac:dyDescent="0.25"/>
  <cols>
    <col min="1" max="1" width="16.7109375" style="1" customWidth="1"/>
    <col min="2" max="2" width="53.7109375" style="1" customWidth="1"/>
    <col min="3" max="3" width="58.7109375" style="1" customWidth="1"/>
    <col min="4" max="4" width="12.7109375" style="5" customWidth="1"/>
    <col min="5" max="5" width="16.140625" customWidth="1"/>
    <col min="6" max="6" width="36" customWidth="1"/>
  </cols>
  <sheetData>
    <row r="1" spans="1:6" ht="42.75" customHeight="1" x14ac:dyDescent="0.25">
      <c r="A1" s="19" t="s">
        <v>170</v>
      </c>
      <c r="D1" s="135" t="s">
        <v>44</v>
      </c>
      <c r="E1" s="135"/>
      <c r="F1" s="135"/>
    </row>
    <row r="3" spans="1:6" ht="24.75" customHeight="1" x14ac:dyDescent="0.25">
      <c r="A3" s="136" t="s">
        <v>149</v>
      </c>
      <c r="B3" s="138" t="s">
        <v>150</v>
      </c>
      <c r="C3" s="13" t="s">
        <v>125</v>
      </c>
      <c r="D3" s="42" t="s">
        <v>122</v>
      </c>
      <c r="E3" s="140" t="s">
        <v>39</v>
      </c>
      <c r="F3" s="132" t="str">
        <f>IF(AND(D3="x",D4="x"),"Please mark ONLY one box",IF(AND(ISBLANK(D3),ISBLANK(D4)),"Please mark either the orange or green box",""))</f>
        <v/>
      </c>
    </row>
    <row r="4" spans="1:6" ht="24.75" customHeight="1" x14ac:dyDescent="0.25">
      <c r="A4" s="137"/>
      <c r="B4" s="139"/>
      <c r="C4" s="13" t="s">
        <v>126</v>
      </c>
      <c r="D4" s="43"/>
      <c r="E4" s="141"/>
      <c r="F4" s="132"/>
    </row>
    <row r="5" spans="1:6" ht="22.5" customHeight="1" x14ac:dyDescent="0.25">
      <c r="A5" s="15"/>
      <c r="B5" s="16"/>
      <c r="C5" s="89"/>
      <c r="D5" s="91"/>
      <c r="E5" s="90"/>
    </row>
    <row r="6" spans="1:6" ht="24.75" customHeight="1" x14ac:dyDescent="0.25">
      <c r="A6" s="93" t="s">
        <v>0</v>
      </c>
      <c r="B6" s="93" t="s">
        <v>128</v>
      </c>
      <c r="C6" s="98" t="s">
        <v>152</v>
      </c>
      <c r="D6" s="92"/>
      <c r="E6" s="106" t="s">
        <v>10</v>
      </c>
      <c r="F6" s="99" t="s">
        <v>124</v>
      </c>
    </row>
    <row r="7" spans="1:6" ht="69" customHeight="1" x14ac:dyDescent="0.25">
      <c r="A7" s="94" t="s">
        <v>127</v>
      </c>
      <c r="B7" s="8" t="s">
        <v>145</v>
      </c>
      <c r="C7" s="13" t="s">
        <v>129</v>
      </c>
      <c r="D7" s="95">
        <v>8.6999999999999994E-2</v>
      </c>
      <c r="E7" s="9" t="s">
        <v>11</v>
      </c>
      <c r="F7" s="88"/>
    </row>
    <row r="8" spans="1:6" ht="51" customHeight="1" x14ac:dyDescent="0.25">
      <c r="A8" s="94" t="s">
        <v>131</v>
      </c>
      <c r="B8" s="8" t="s">
        <v>130</v>
      </c>
      <c r="C8" s="96" t="s">
        <v>146</v>
      </c>
      <c r="D8" s="44"/>
      <c r="E8" s="9" t="s">
        <v>12</v>
      </c>
      <c r="F8" s="88"/>
    </row>
    <row r="9" spans="1:6" ht="81.75" customHeight="1" x14ac:dyDescent="0.25">
      <c r="A9" s="94" t="s">
        <v>132</v>
      </c>
      <c r="B9" s="96" t="s">
        <v>147</v>
      </c>
      <c r="C9" s="96" t="s">
        <v>148</v>
      </c>
      <c r="D9" s="44"/>
      <c r="E9" s="9" t="s">
        <v>13</v>
      </c>
      <c r="F9" s="88"/>
    </row>
    <row r="10" spans="1:6" ht="24" customHeight="1" x14ac:dyDescent="0.25">
      <c r="A10" s="15"/>
      <c r="B10" s="16"/>
      <c r="C10" s="97" t="s">
        <v>133</v>
      </c>
      <c r="D10" s="20" t="str">
        <f>IF(OR(ISBLANK(D$8),ISBLANK(D$9)),"",D8-(16000+8%*(D9-100000))+6000)</f>
        <v/>
      </c>
      <c r="E10" s="9" t="s">
        <v>14</v>
      </c>
      <c r="F10" s="88"/>
    </row>
    <row r="11" spans="1:6" ht="24" customHeight="1" x14ac:dyDescent="0.25">
      <c r="A11" s="15"/>
      <c r="B11" s="16"/>
      <c r="C11" s="97" t="s">
        <v>134</v>
      </c>
      <c r="D11" s="20" t="str">
        <f>IF(OR(ISBLANK(D$8),ISBLANK(D$9)),"",D10*D7)</f>
        <v/>
      </c>
      <c r="E11" s="9" t="s">
        <v>15</v>
      </c>
      <c r="F11" s="88"/>
    </row>
    <row r="12" spans="1:6" ht="24" customHeight="1" x14ac:dyDescent="0.25">
      <c r="A12" s="15"/>
      <c r="B12" s="16"/>
      <c r="C12" s="97" t="s">
        <v>135</v>
      </c>
      <c r="D12" s="20" t="str">
        <f>IF(OR(ISBLANK(D$8),ISBLANK(D$9)),"",D8+D11)</f>
        <v/>
      </c>
      <c r="E12" s="9" t="s">
        <v>16</v>
      </c>
      <c r="F12" s="88"/>
    </row>
    <row r="13" spans="1:6" ht="33" customHeight="1" x14ac:dyDescent="0.25">
      <c r="A13" s="150" t="s">
        <v>223</v>
      </c>
      <c r="B13" s="150"/>
      <c r="C13" s="97" t="s">
        <v>221</v>
      </c>
      <c r="D13" s="44"/>
      <c r="E13" s="9" t="s">
        <v>17</v>
      </c>
      <c r="F13" s="88"/>
    </row>
    <row r="14" spans="1:6" ht="33" customHeight="1" x14ac:dyDescent="0.25">
      <c r="A14" s="150" t="s">
        <v>224</v>
      </c>
      <c r="B14" s="150"/>
      <c r="C14" s="97" t="s">
        <v>222</v>
      </c>
      <c r="D14" s="44"/>
      <c r="E14" s="9" t="s">
        <v>18</v>
      </c>
      <c r="F14" s="88"/>
    </row>
    <row r="15" spans="1:6" ht="24" customHeight="1" x14ac:dyDescent="0.25">
      <c r="A15" s="15"/>
      <c r="B15" s="16"/>
      <c r="C15" s="97" t="s">
        <v>158</v>
      </c>
      <c r="D15" s="20" t="str">
        <f>IF(OR(ISBLANK(D$8),ISBLANK(D$9)),"",D12+D13+D14)</f>
        <v/>
      </c>
      <c r="E15" s="9" t="s">
        <v>19</v>
      </c>
      <c r="F15" s="88"/>
    </row>
    <row r="16" spans="1:6" ht="21.75" customHeight="1" x14ac:dyDescent="0.25">
      <c r="A16" s="15"/>
      <c r="B16" s="16"/>
      <c r="C16" s="101"/>
      <c r="D16" s="102"/>
      <c r="E16" s="90"/>
      <c r="F16" s="103"/>
    </row>
    <row r="17" spans="1:6" ht="36" x14ac:dyDescent="0.25">
      <c r="A17" s="93" t="s">
        <v>3</v>
      </c>
      <c r="B17" s="113" t="s">
        <v>6</v>
      </c>
      <c r="C17" s="104" t="s">
        <v>151</v>
      </c>
      <c r="D17" s="105" t="s">
        <v>8</v>
      </c>
      <c r="E17" s="106" t="s">
        <v>10</v>
      </c>
      <c r="F17" s="105" t="s">
        <v>124</v>
      </c>
    </row>
    <row r="18" spans="1:6" ht="47.25" x14ac:dyDescent="0.25">
      <c r="A18" s="94" t="s">
        <v>141</v>
      </c>
      <c r="B18" s="8" t="s">
        <v>160</v>
      </c>
      <c r="C18" s="8" t="s">
        <v>175</v>
      </c>
      <c r="D18" s="12" t="str">
        <f>D15</f>
        <v/>
      </c>
      <c r="E18" s="9" t="s">
        <v>20</v>
      </c>
      <c r="F18" s="88"/>
    </row>
    <row r="19" spans="1:6" ht="47.25" x14ac:dyDescent="0.25">
      <c r="A19" s="94" t="s">
        <v>26</v>
      </c>
      <c r="B19" s="143" t="s">
        <v>178</v>
      </c>
      <c r="C19" s="8" t="s">
        <v>176</v>
      </c>
      <c r="D19" s="12" t="str">
        <f>IF(AND(NOT(ISBLANK(D30)),D39&gt;0),D32,"")</f>
        <v/>
      </c>
      <c r="E19" s="9" t="s">
        <v>21</v>
      </c>
      <c r="F19" s="88"/>
    </row>
    <row r="20" spans="1:6" ht="63" x14ac:dyDescent="0.25">
      <c r="A20" s="94" t="s">
        <v>142</v>
      </c>
      <c r="B20" s="144"/>
      <c r="C20" s="8" t="s">
        <v>177</v>
      </c>
      <c r="D20" s="12" t="str">
        <f>IF(AND(NOT(ISBLANK(D30)),D40&gt;0),D32+D40,"")</f>
        <v/>
      </c>
      <c r="E20" s="9" t="s">
        <v>22</v>
      </c>
      <c r="F20" s="88"/>
    </row>
    <row r="21" spans="1:6" ht="244.5" customHeight="1" x14ac:dyDescent="0.25">
      <c r="A21" s="94" t="s">
        <v>143</v>
      </c>
      <c r="B21" s="134" t="s">
        <v>144</v>
      </c>
      <c r="C21" s="134"/>
      <c r="D21" s="44"/>
      <c r="E21" s="9" t="s">
        <v>23</v>
      </c>
      <c r="F21" s="88"/>
    </row>
    <row r="22" spans="1:6" ht="31.5" x14ac:dyDescent="0.25">
      <c r="A22" s="94" t="s">
        <v>40</v>
      </c>
      <c r="B22" s="8" t="s">
        <v>41</v>
      </c>
      <c r="C22" s="8" t="s">
        <v>157</v>
      </c>
      <c r="D22" s="12" t="str">
        <f>IF(AND(ISNUMBER(D21),D3="x"),0.0765*D21,"")</f>
        <v/>
      </c>
      <c r="E22" s="9"/>
      <c r="F22" s="88"/>
    </row>
    <row r="23" spans="1:6" ht="22.5" customHeight="1" x14ac:dyDescent="0.25">
      <c r="A23" s="15"/>
      <c r="B23" s="16"/>
      <c r="C23" s="16"/>
      <c r="D23" s="18"/>
      <c r="E23" s="17"/>
    </row>
    <row r="24" spans="1:6" ht="35.25" customHeight="1" x14ac:dyDescent="0.25">
      <c r="A24" s="93" t="s">
        <v>171</v>
      </c>
      <c r="B24" s="93" t="s">
        <v>136</v>
      </c>
      <c r="C24" s="142" t="s">
        <v>137</v>
      </c>
      <c r="D24" s="142"/>
      <c r="E24" s="142"/>
      <c r="F24" s="99" t="s">
        <v>124</v>
      </c>
    </row>
    <row r="25" spans="1:6" ht="35.25" customHeight="1" x14ac:dyDescent="0.25">
      <c r="A25" s="133" t="s">
        <v>138</v>
      </c>
      <c r="B25" s="133"/>
      <c r="C25" s="133"/>
      <c r="D25" s="133"/>
      <c r="E25" s="133"/>
      <c r="F25" s="133"/>
    </row>
    <row r="26" spans="1:6" ht="36" x14ac:dyDescent="0.25">
      <c r="A26" s="6" t="s">
        <v>172</v>
      </c>
      <c r="B26" s="6" t="s">
        <v>7</v>
      </c>
      <c r="C26" s="6" t="s">
        <v>1</v>
      </c>
      <c r="D26" s="7" t="s">
        <v>2</v>
      </c>
      <c r="E26" s="7" t="s">
        <v>10</v>
      </c>
      <c r="F26" s="7" t="s">
        <v>124</v>
      </c>
    </row>
    <row r="27" spans="1:6" ht="207" x14ac:dyDescent="0.25">
      <c r="A27" s="94" t="s">
        <v>24</v>
      </c>
      <c r="B27" s="8" t="s">
        <v>32</v>
      </c>
      <c r="C27" s="8" t="s">
        <v>139</v>
      </c>
      <c r="D27" s="20">
        <f>IF(AND(D3="x",D4="x"),"Please mark EITHER the orange pastor OR green deacon box above",IF(D3="x",61000,IF(D4="x",56600,"Please mark the orange pastor or green deacon box above")))</f>
        <v>61000</v>
      </c>
      <c r="E27" s="9" t="s">
        <v>161</v>
      </c>
      <c r="F27" s="88"/>
    </row>
    <row r="28" spans="1:6" ht="39.75" customHeight="1" x14ac:dyDescent="0.25">
      <c r="A28" s="136" t="s">
        <v>25</v>
      </c>
      <c r="B28" s="138" t="s">
        <v>38</v>
      </c>
      <c r="C28" s="138" t="s">
        <v>179</v>
      </c>
      <c r="D28" s="100">
        <f>D9</f>
        <v>0</v>
      </c>
      <c r="E28" s="9" t="s">
        <v>162</v>
      </c>
      <c r="F28" s="88"/>
    </row>
    <row r="29" spans="1:6" ht="78" customHeight="1" x14ac:dyDescent="0.25">
      <c r="A29" s="137"/>
      <c r="B29" s="139"/>
      <c r="C29" s="139"/>
      <c r="D29" s="12">
        <f>IF(ISNUMBER(D9),(D28-100000)*8%,)</f>
        <v>0</v>
      </c>
      <c r="E29" s="14" t="s">
        <v>25</v>
      </c>
      <c r="F29" s="88"/>
    </row>
    <row r="30" spans="1:6" ht="42" customHeight="1" x14ac:dyDescent="0.25">
      <c r="A30" s="136" t="s">
        <v>27</v>
      </c>
      <c r="B30" s="138" t="s">
        <v>33</v>
      </c>
      <c r="C30" s="138" t="s">
        <v>180</v>
      </c>
      <c r="D30" s="44"/>
      <c r="E30" s="9" t="s">
        <v>163</v>
      </c>
      <c r="F30" s="88"/>
    </row>
    <row r="31" spans="1:6" ht="42" customHeight="1" x14ac:dyDescent="0.25">
      <c r="A31" s="137"/>
      <c r="B31" s="139"/>
      <c r="C31" s="139"/>
      <c r="D31" s="12">
        <f>IF(ISNUMBER(D30),D30*400,)</f>
        <v>0</v>
      </c>
      <c r="E31" s="14" t="s">
        <v>37</v>
      </c>
      <c r="F31" s="88"/>
    </row>
    <row r="32" spans="1:6" ht="126" x14ac:dyDescent="0.25">
      <c r="A32" s="94" t="s">
        <v>26</v>
      </c>
      <c r="B32" s="8" t="s">
        <v>182</v>
      </c>
      <c r="C32" s="8" t="s">
        <v>181</v>
      </c>
      <c r="D32" s="12">
        <f>D27+D29+D31</f>
        <v>61000</v>
      </c>
      <c r="E32" s="9" t="s">
        <v>164</v>
      </c>
      <c r="F32" s="88"/>
    </row>
    <row r="33" spans="1:6" ht="15" customHeight="1" x14ac:dyDescent="0.25">
      <c r="D33" s="4"/>
      <c r="E33" s="3"/>
    </row>
    <row r="34" spans="1:6" ht="36" x14ac:dyDescent="0.25">
      <c r="A34" s="10" t="s">
        <v>173</v>
      </c>
      <c r="B34" s="10" t="s">
        <v>4</v>
      </c>
      <c r="C34" s="10" t="s">
        <v>1</v>
      </c>
      <c r="D34" s="11" t="s">
        <v>9</v>
      </c>
      <c r="E34" s="7" t="s">
        <v>10</v>
      </c>
      <c r="F34" s="7" t="s">
        <v>124</v>
      </c>
    </row>
    <row r="35" spans="1:6" s="2" customFormat="1" ht="63" x14ac:dyDescent="0.25">
      <c r="A35" s="94" t="s">
        <v>35</v>
      </c>
      <c r="B35" s="8" t="s">
        <v>34</v>
      </c>
      <c r="C35" s="8" t="s">
        <v>183</v>
      </c>
      <c r="D35" s="44"/>
      <c r="E35" s="9" t="s">
        <v>165</v>
      </c>
      <c r="F35" s="88"/>
    </row>
    <row r="36" spans="1:6" ht="78.75" x14ac:dyDescent="0.25">
      <c r="A36" s="94" t="s">
        <v>28</v>
      </c>
      <c r="B36" s="8" t="s">
        <v>36</v>
      </c>
      <c r="C36" s="8" t="s">
        <v>184</v>
      </c>
      <c r="D36" s="44"/>
      <c r="E36" s="9" t="s">
        <v>166</v>
      </c>
      <c r="F36" s="88"/>
    </row>
    <row r="37" spans="1:6" ht="94.5" x14ac:dyDescent="0.25">
      <c r="A37" s="94" t="s">
        <v>112</v>
      </c>
      <c r="B37" s="8" t="s">
        <v>110</v>
      </c>
      <c r="C37" s="8" t="s">
        <v>111</v>
      </c>
      <c r="D37" s="44"/>
      <c r="E37" s="9" t="s">
        <v>167</v>
      </c>
      <c r="F37" s="88"/>
    </row>
    <row r="38" spans="1:6" ht="78.75" x14ac:dyDescent="0.25">
      <c r="A38" s="94" t="s">
        <v>29</v>
      </c>
      <c r="B38" s="8" t="s">
        <v>5</v>
      </c>
      <c r="C38" s="8" t="s">
        <v>185</v>
      </c>
      <c r="D38" s="44"/>
      <c r="E38" s="9" t="s">
        <v>168</v>
      </c>
      <c r="F38" s="88"/>
    </row>
    <row r="39" spans="1:6" ht="63" x14ac:dyDescent="0.25">
      <c r="A39" s="94" t="s">
        <v>30</v>
      </c>
      <c r="B39" s="8" t="s">
        <v>188</v>
      </c>
      <c r="C39" s="8" t="s">
        <v>186</v>
      </c>
      <c r="D39" s="12">
        <f>IF(D35&gt;10,10,D35)+D36+D37+D38</f>
        <v>0</v>
      </c>
      <c r="E39" s="9" t="s">
        <v>169</v>
      </c>
      <c r="F39" s="88"/>
    </row>
    <row r="40" spans="1:6" s="2" customFormat="1" ht="87" x14ac:dyDescent="0.25">
      <c r="A40" s="94" t="s">
        <v>31</v>
      </c>
      <c r="B40" s="8" t="s">
        <v>140</v>
      </c>
      <c r="C40" s="8" t="s">
        <v>187</v>
      </c>
      <c r="D40" s="12">
        <f>400*D39</f>
        <v>0</v>
      </c>
      <c r="E40" s="9" t="s">
        <v>174</v>
      </c>
      <c r="F40" s="88"/>
    </row>
  </sheetData>
  <sheetProtection algorithmName="SHA-512" hashValue="bFSJ+smRGDC2d0XWpzKRlxyHarnDkLusIiji4sJ/7REMf3U9Xv587lCElyeIfP+ZSw7xl6Jb5aylixM3pCHAqw==" saltValue="SR1fJFkrKqkbRIBhEQ3JqQ==" spinCount="100000" sheet="1" objects="1" scenarios="1"/>
  <mergeCells count="17">
    <mergeCell ref="A14:B14"/>
    <mergeCell ref="F3:F4"/>
    <mergeCell ref="A25:F25"/>
    <mergeCell ref="B21:C21"/>
    <mergeCell ref="D1:F1"/>
    <mergeCell ref="A30:A31"/>
    <mergeCell ref="B30:B31"/>
    <mergeCell ref="C30:C31"/>
    <mergeCell ref="A3:A4"/>
    <mergeCell ref="B3:B4"/>
    <mergeCell ref="E3:E4"/>
    <mergeCell ref="A28:A29"/>
    <mergeCell ref="B28:B29"/>
    <mergeCell ref="C28:C29"/>
    <mergeCell ref="C24:E24"/>
    <mergeCell ref="B19:B20"/>
    <mergeCell ref="A13:B13"/>
  </mergeCells>
  <pageMargins left="0.7" right="0.7" top="0.5" bottom="0.5" header="0" footer="0"/>
  <pageSetup scale="7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AE459-9D71-4391-ACE6-92ABCE998D72}">
  <sheetPr>
    <tabColor rgb="FFCCFFCC"/>
  </sheetPr>
  <dimension ref="A1:Q59"/>
  <sheetViews>
    <sheetView workbookViewId="0">
      <selection activeCell="C31" sqref="C31"/>
    </sheetView>
  </sheetViews>
  <sheetFormatPr defaultColWidth="9.140625" defaultRowHeight="15.75" x14ac:dyDescent="0.25"/>
  <cols>
    <col min="1" max="1" width="22.7109375" style="22" customWidth="1"/>
    <col min="2" max="2" width="7.85546875" style="22" customWidth="1"/>
    <col min="3" max="4" width="9.28515625" style="23" customWidth="1"/>
    <col min="5" max="6" width="9.140625" style="22"/>
    <col min="7" max="7" width="14.85546875" style="22" customWidth="1"/>
    <col min="8" max="8" width="3.28515625" style="22" customWidth="1"/>
    <col min="9" max="9" width="12.42578125" style="22" customWidth="1"/>
    <col min="10" max="16" width="9.140625" style="22"/>
    <col min="17" max="17" width="3.28515625" style="22" customWidth="1"/>
    <col min="18" max="16384" width="9.140625" style="22"/>
  </cols>
  <sheetData>
    <row r="1" spans="1:17" ht="18" x14ac:dyDescent="0.25">
      <c r="A1" s="21" t="s">
        <v>67</v>
      </c>
    </row>
    <row r="2" spans="1:17" ht="15.75" customHeight="1" x14ac:dyDescent="0.25">
      <c r="A2" s="145" t="s">
        <v>109</v>
      </c>
      <c r="B2" s="145"/>
      <c r="C2" s="145"/>
      <c r="D2" s="145"/>
      <c r="E2" s="145"/>
      <c r="F2" s="145"/>
      <c r="G2" s="145"/>
    </row>
    <row r="3" spans="1:17" x14ac:dyDescent="0.25">
      <c r="A3" s="145"/>
      <c r="B3" s="145"/>
      <c r="C3" s="145"/>
      <c r="D3" s="145"/>
      <c r="E3" s="145"/>
      <c r="F3" s="145"/>
      <c r="G3" s="145"/>
    </row>
    <row r="4" spans="1:17" x14ac:dyDescent="0.25">
      <c r="A4" s="145"/>
      <c r="B4" s="145"/>
      <c r="C4" s="145"/>
      <c r="D4" s="145"/>
      <c r="E4" s="145"/>
      <c r="F4" s="145"/>
      <c r="G4" s="145"/>
    </row>
    <row r="5" spans="1:17" ht="16.5" thickBot="1" x14ac:dyDescent="0.3">
      <c r="A5" s="145"/>
      <c r="B5" s="145"/>
      <c r="C5" s="145"/>
      <c r="D5" s="145"/>
      <c r="E5" s="145"/>
      <c r="F5" s="145"/>
      <c r="G5" s="145"/>
    </row>
    <row r="6" spans="1:17" x14ac:dyDescent="0.25">
      <c r="A6" s="41"/>
      <c r="B6" s="41"/>
      <c r="C6" s="41"/>
      <c r="D6" s="41"/>
      <c r="E6" s="41"/>
      <c r="F6" s="41"/>
      <c r="H6" s="68"/>
      <c r="I6" s="69"/>
      <c r="J6" s="69"/>
      <c r="K6" s="69"/>
      <c r="L6" s="69"/>
      <c r="M6" s="69"/>
      <c r="N6" s="69"/>
      <c r="O6" s="69"/>
      <c r="P6" s="69"/>
      <c r="Q6" s="70"/>
    </row>
    <row r="7" spans="1:17" ht="18.75" x14ac:dyDescent="0.3">
      <c r="A7" s="24" t="s">
        <v>88</v>
      </c>
      <c r="E7" s="23"/>
      <c r="F7" s="41"/>
      <c r="H7" s="71"/>
      <c r="I7" s="24" t="s">
        <v>91</v>
      </c>
      <c r="Q7" s="72"/>
    </row>
    <row r="8" spans="1:17" x14ac:dyDescent="0.25">
      <c r="A8" s="129" t="s">
        <v>89</v>
      </c>
      <c r="B8" s="129"/>
      <c r="C8" s="129"/>
      <c r="D8" s="129"/>
      <c r="E8" s="129"/>
      <c r="F8" s="41"/>
      <c r="H8" s="71"/>
      <c r="I8" s="129" t="s">
        <v>92</v>
      </c>
      <c r="J8" s="129"/>
      <c r="K8" s="129"/>
      <c r="L8" s="129"/>
      <c r="M8" s="129"/>
      <c r="N8" s="129"/>
      <c r="O8" s="129"/>
      <c r="P8" s="129"/>
      <c r="Q8" s="72"/>
    </row>
    <row r="9" spans="1:17" ht="16.5" thickBot="1" x14ac:dyDescent="0.3">
      <c r="A9" s="129"/>
      <c r="B9" s="129"/>
      <c r="C9" s="129"/>
      <c r="D9" s="129"/>
      <c r="E9" s="129"/>
      <c r="F9" s="41"/>
      <c r="H9" s="71"/>
      <c r="I9" s="129"/>
      <c r="J9" s="129"/>
      <c r="K9" s="129"/>
      <c r="L9" s="129"/>
      <c r="M9" s="129"/>
      <c r="N9" s="129"/>
      <c r="O9" s="129"/>
      <c r="P9" s="129"/>
      <c r="Q9" s="72"/>
    </row>
    <row r="10" spans="1:17" ht="17.25" thickTop="1" thickBot="1" x14ac:dyDescent="0.3">
      <c r="A10" s="129"/>
      <c r="B10" s="129"/>
      <c r="C10" s="129"/>
      <c r="D10" s="129"/>
      <c r="E10" s="129"/>
      <c r="F10" s="41"/>
      <c r="H10" s="71"/>
      <c r="K10" s="25" t="s">
        <v>98</v>
      </c>
      <c r="L10" s="146"/>
      <c r="M10" s="147"/>
      <c r="N10" s="147"/>
      <c r="O10" s="147"/>
      <c r="P10" s="148"/>
      <c r="Q10" s="72"/>
    </row>
    <row r="11" spans="1:17" ht="19.5" thickTop="1" thickBot="1" x14ac:dyDescent="0.3">
      <c r="A11" s="21"/>
      <c r="D11" s="48" t="s">
        <v>90</v>
      </c>
      <c r="E11" s="80">
        <v>1</v>
      </c>
      <c r="F11" s="41"/>
      <c r="H11" s="71"/>
      <c r="K11" s="25" t="s">
        <v>99</v>
      </c>
      <c r="L11" s="146"/>
      <c r="M11" s="147"/>
      <c r="N11" s="147"/>
      <c r="O11" s="147"/>
      <c r="P11" s="148"/>
      <c r="Q11" s="72"/>
    </row>
    <row r="12" spans="1:17" ht="17.25" thickTop="1" thickBot="1" x14ac:dyDescent="0.3">
      <c r="A12" s="41"/>
      <c r="B12" s="41"/>
      <c r="C12" s="41"/>
      <c r="D12" s="41"/>
      <c r="E12" s="41"/>
      <c r="F12" s="41"/>
      <c r="H12" s="71"/>
      <c r="K12" s="25" t="s">
        <v>100</v>
      </c>
      <c r="L12" s="146"/>
      <c r="M12" s="147"/>
      <c r="N12" s="147"/>
      <c r="O12" s="147"/>
      <c r="P12" s="148"/>
      <c r="Q12" s="72"/>
    </row>
    <row r="13" spans="1:17" ht="16.5" thickTop="1" x14ac:dyDescent="0.25">
      <c r="A13" s="41"/>
      <c r="B13" s="41"/>
      <c r="C13" s="41"/>
      <c r="D13" s="41"/>
      <c r="E13" s="41"/>
      <c r="F13" s="41"/>
      <c r="H13" s="71"/>
      <c r="Q13" s="72"/>
    </row>
    <row r="14" spans="1:17" ht="16.5" thickBot="1" x14ac:dyDescent="0.3">
      <c r="A14" s="41"/>
      <c r="B14" s="41"/>
      <c r="C14" s="41"/>
      <c r="D14" s="41"/>
      <c r="E14" s="41"/>
      <c r="F14" s="41"/>
      <c r="H14" s="71"/>
      <c r="J14" s="25" t="s">
        <v>94</v>
      </c>
      <c r="K14" s="25"/>
      <c r="L14" s="25" t="s">
        <v>95</v>
      </c>
      <c r="M14" s="25"/>
      <c r="N14" s="25" t="s">
        <v>96</v>
      </c>
      <c r="O14" s="25"/>
      <c r="P14" s="25" t="s">
        <v>97</v>
      </c>
      <c r="Q14" s="72"/>
    </row>
    <row r="15" spans="1:17" ht="20.25" thickTop="1" thickBot="1" x14ac:dyDescent="0.35">
      <c r="A15" s="24" t="s">
        <v>113</v>
      </c>
      <c r="H15" s="71"/>
      <c r="I15" s="22" t="s">
        <v>93</v>
      </c>
      <c r="J15" s="81"/>
      <c r="L15" s="81"/>
      <c r="N15" s="81"/>
      <c r="P15" s="73" t="str">
        <f>IF(AND(OR(J15&gt;0,L15&gt;0,N15&gt;0),(J15+L15+N15)&lt;&gt;1),"ERROR",IF((J15+L15+N15)=0,"",J15+L15+N15))</f>
        <v/>
      </c>
      <c r="Q15" s="72" t="str">
        <f>IF((J15+L15+N15)=0,"",IF(J15+L15+N15&lt;&gt;1," &lt;&lt; cell MUST equal 100%",""))</f>
        <v/>
      </c>
    </row>
    <row r="16" spans="1:17" ht="19.5" thickTop="1" x14ac:dyDescent="0.3">
      <c r="A16" s="24"/>
      <c r="H16" s="71"/>
      <c r="Q16" s="72"/>
    </row>
    <row r="17" spans="1:17" x14ac:dyDescent="0.25">
      <c r="B17" s="25" t="s">
        <v>114</v>
      </c>
      <c r="C17" s="23">
        <f>'CONTINUING CALL Compensation'!D21</f>
        <v>0</v>
      </c>
      <c r="E17" s="49" t="str">
        <f>IF(E$11&lt;&gt;1,C17*E$11,"")</f>
        <v/>
      </c>
      <c r="H17" s="71"/>
      <c r="J17" s="74" t="str">
        <f>IF(J$15&gt;0,IF($E$11&lt;&gt;1,$E17*J$15,$C17*J$15),"")</f>
        <v/>
      </c>
      <c r="L17" s="74" t="str">
        <f>IF(L$15&gt;0,IF($E$11&lt;&gt;1,$E17*L$15,$C17*L$15),"")</f>
        <v/>
      </c>
      <c r="N17" s="74" t="str">
        <f>IF(N$15&gt;0,IF($E$11&lt;&gt;1,$E17*N$15,$C17*N$15),"")</f>
        <v/>
      </c>
      <c r="Q17" s="72"/>
    </row>
    <row r="18" spans="1:17" x14ac:dyDescent="0.25">
      <c r="B18" s="25"/>
      <c r="E18" s="50"/>
      <c r="H18" s="71"/>
      <c r="J18" s="75"/>
      <c r="L18" s="75"/>
      <c r="N18" s="75"/>
      <c r="Q18" s="72"/>
    </row>
    <row r="19" spans="1:17" x14ac:dyDescent="0.25">
      <c r="B19" s="25" t="s">
        <v>123</v>
      </c>
      <c r="C19" s="23">
        <f>IF(ISNUMBER('CONTINUING CALL Compensation'!D22),'CONTINUING CALL Compensation'!D22,)</f>
        <v>0</v>
      </c>
      <c r="E19" s="49" t="str">
        <f>IF(E$11&lt;&gt;1,C19*E$11,"")</f>
        <v/>
      </c>
      <c r="H19" s="71"/>
      <c r="J19" s="74" t="str">
        <f>IF(J$15&gt;0,IF($E$11&lt;&gt;1,$E19*J$15,$C19*J$15),"")</f>
        <v/>
      </c>
      <c r="L19" s="74" t="str">
        <f>IF(L$15&gt;0,IF($E$11&lt;&gt;1,$E19*L$15,$C19*L$15),"")</f>
        <v/>
      </c>
      <c r="N19" s="74" t="str">
        <f>IF(N$15&gt;0,IF($E$11&lt;&gt;1,$E19*N$15,$C19*N$15),"")</f>
        <v/>
      </c>
      <c r="Q19" s="72"/>
    </row>
    <row r="20" spans="1:17" ht="16.5" thickBot="1" x14ac:dyDescent="0.3">
      <c r="B20" s="25"/>
      <c r="C20" s="26"/>
      <c r="E20" s="51"/>
      <c r="H20" s="71"/>
      <c r="J20" s="53"/>
      <c r="L20" s="53"/>
      <c r="N20" s="53"/>
      <c r="Q20" s="72"/>
    </row>
    <row r="21" spans="1:17" ht="16.5" thickTop="1" x14ac:dyDescent="0.25">
      <c r="B21" s="27" t="s">
        <v>45</v>
      </c>
      <c r="C21" s="28">
        <f>C17+C19</f>
        <v>0</v>
      </c>
      <c r="E21" s="52" t="str">
        <f>IF(E$11&lt;&gt;1,E17+E19,"")</f>
        <v/>
      </c>
      <c r="H21" s="71"/>
      <c r="J21" s="76">
        <f>IF(J$15&gt;0,J17+J19,)</f>
        <v>0</v>
      </c>
      <c r="L21" s="76">
        <f>IF(L$15&gt;0,L17+L19,)</f>
        <v>0</v>
      </c>
      <c r="N21" s="76">
        <f>IF(N$15&gt;0,N17+N19,)</f>
        <v>0</v>
      </c>
      <c r="P21" s="76" t="str">
        <f>IF((J15+L15+N15)=0,"",J21+L21+N21)</f>
        <v/>
      </c>
      <c r="Q21" s="72"/>
    </row>
    <row r="22" spans="1:17" x14ac:dyDescent="0.25">
      <c r="B22" s="27"/>
      <c r="H22" s="71"/>
      <c r="Q22" s="72"/>
    </row>
    <row r="23" spans="1:17" x14ac:dyDescent="0.25">
      <c r="B23" s="27"/>
      <c r="H23" s="71"/>
      <c r="Q23" s="72"/>
    </row>
    <row r="24" spans="1:17" ht="18.75" x14ac:dyDescent="0.3">
      <c r="A24" s="24" t="s">
        <v>46</v>
      </c>
      <c r="B24" s="25"/>
      <c r="H24" s="71"/>
      <c r="Q24" s="72"/>
    </row>
    <row r="25" spans="1:17" x14ac:dyDescent="0.25">
      <c r="A25" s="22" t="s">
        <v>47</v>
      </c>
      <c r="B25" s="25"/>
      <c r="H25" s="71"/>
      <c r="Q25" s="72"/>
    </row>
    <row r="26" spans="1:17" x14ac:dyDescent="0.25">
      <c r="A26" s="29" t="s">
        <v>48</v>
      </c>
      <c r="B26" s="25"/>
      <c r="H26" s="71"/>
      <c r="Q26" s="72"/>
    </row>
    <row r="27" spans="1:17" x14ac:dyDescent="0.25">
      <c r="A27" s="30" t="s">
        <v>49</v>
      </c>
      <c r="B27" s="25"/>
      <c r="H27" s="71"/>
      <c r="Q27" s="72"/>
    </row>
    <row r="28" spans="1:17" x14ac:dyDescent="0.25">
      <c r="A28" s="30"/>
      <c r="B28" s="25"/>
      <c r="H28" s="71"/>
      <c r="Q28" s="72"/>
    </row>
    <row r="29" spans="1:17" x14ac:dyDescent="0.25">
      <c r="B29" s="25" t="s">
        <v>50</v>
      </c>
      <c r="C29" s="22" t="s">
        <v>51</v>
      </c>
      <c r="H29" s="71"/>
      <c r="Q29" s="72"/>
    </row>
    <row r="30" spans="1:17" x14ac:dyDescent="0.25">
      <c r="B30" s="25" t="s">
        <v>52</v>
      </c>
      <c r="C30" s="23">
        <f>IF(E$11&lt;&gt;1,E21,C21)</f>
        <v>0</v>
      </c>
      <c r="H30" s="71"/>
      <c r="Q30" s="72"/>
    </row>
    <row r="31" spans="1:17" x14ac:dyDescent="0.25">
      <c r="B31" s="25" t="s">
        <v>82</v>
      </c>
      <c r="C31" s="45"/>
      <c r="D31" s="23" t="s">
        <v>81</v>
      </c>
      <c r="H31" s="71"/>
      <c r="Q31" s="72"/>
    </row>
    <row r="32" spans="1:17" x14ac:dyDescent="0.25">
      <c r="H32" s="71"/>
      <c r="Q32" s="72"/>
    </row>
    <row r="33" spans="1:17" x14ac:dyDescent="0.25">
      <c r="B33" s="25" t="s">
        <v>53</v>
      </c>
      <c r="C33" s="45"/>
      <c r="H33" s="71"/>
      <c r="J33" s="74" t="str">
        <f>IF(J$15&gt;0,$C33*J$15,"")</f>
        <v/>
      </c>
      <c r="L33" s="74" t="str">
        <f>IF(L$15&gt;0,$C33*L$15,"")</f>
        <v/>
      </c>
      <c r="N33" s="74" t="str">
        <f>IF(N$15&gt;0,$C33*N$15,"")</f>
        <v/>
      </c>
      <c r="Q33" s="72"/>
    </row>
    <row r="34" spans="1:17" x14ac:dyDescent="0.25">
      <c r="B34" s="25" t="s">
        <v>54</v>
      </c>
      <c r="C34" s="45"/>
      <c r="H34" s="71"/>
      <c r="J34" s="74" t="str">
        <f>IF(J$15&gt;0,$C34*J$15,"")</f>
        <v/>
      </c>
      <c r="L34" s="74" t="str">
        <f>IF(L$15&gt;0,$C34*L$15,"")</f>
        <v/>
      </c>
      <c r="N34" s="74" t="str">
        <f>IF(N$15&gt;0,$C34*N$15,"")</f>
        <v/>
      </c>
      <c r="Q34" s="72"/>
    </row>
    <row r="35" spans="1:17" x14ac:dyDescent="0.25">
      <c r="B35" s="25" t="s">
        <v>55</v>
      </c>
      <c r="C35" s="45"/>
      <c r="H35" s="71"/>
      <c r="J35" s="74" t="str">
        <f>IF(J$15&gt;0,$C35*J$15,"")</f>
        <v/>
      </c>
      <c r="L35" s="74" t="str">
        <f>IF(L$15&gt;0,$C35*L$15,"")</f>
        <v/>
      </c>
      <c r="N35" s="74" t="str">
        <f>IF(N$15&gt;0,$C35*N$15,"")</f>
        <v/>
      </c>
      <c r="Q35" s="72"/>
    </row>
    <row r="36" spans="1:17" x14ac:dyDescent="0.25">
      <c r="B36" s="25" t="s">
        <v>80</v>
      </c>
      <c r="C36" s="46"/>
      <c r="H36" s="71"/>
      <c r="J36" s="54" t="str">
        <f>IF(J$15&gt;0,$C36*J$15,"")</f>
        <v/>
      </c>
      <c r="L36" s="54" t="str">
        <f>IF(L$15&gt;0,$C36*L$15,"")</f>
        <v/>
      </c>
      <c r="N36" s="54" t="str">
        <f>IF(N$15&gt;0,$C36*N$15,"")</f>
        <v/>
      </c>
      <c r="Q36" s="72"/>
    </row>
    <row r="37" spans="1:17" x14ac:dyDescent="0.25">
      <c r="B37" s="25" t="s">
        <v>56</v>
      </c>
      <c r="C37" s="23">
        <f>SUM(C33:C36)</f>
        <v>0</v>
      </c>
      <c r="H37" s="71"/>
      <c r="J37" s="74" t="str">
        <f>IF(J$15&gt;0,J33+J34+J35+J36,"")</f>
        <v/>
      </c>
      <c r="L37" s="74" t="str">
        <f>IF(L$15&gt;0,L33+L34+L35+L36,"")</f>
        <v/>
      </c>
      <c r="N37" s="74" t="str">
        <f>IF(N$15&gt;0,N33+N34+N35+N36,"")</f>
        <v/>
      </c>
      <c r="Q37" s="72"/>
    </row>
    <row r="38" spans="1:17" x14ac:dyDescent="0.25">
      <c r="B38" s="25"/>
      <c r="H38" s="71"/>
      <c r="Q38" s="72"/>
    </row>
    <row r="39" spans="1:17" x14ac:dyDescent="0.25">
      <c r="A39" s="22" t="s">
        <v>83</v>
      </c>
      <c r="B39" s="25"/>
      <c r="H39" s="71"/>
      <c r="Q39" s="72"/>
    </row>
    <row r="40" spans="1:17" x14ac:dyDescent="0.25">
      <c r="B40" s="47" t="s">
        <v>84</v>
      </c>
      <c r="C40" s="45"/>
      <c r="H40" s="71"/>
      <c r="J40" s="74" t="str">
        <f>IF(J$15&gt;0,$C40*J$15,"")</f>
        <v/>
      </c>
      <c r="L40" s="74" t="str">
        <f>IF(L$15&gt;0,$C40*L$15,"")</f>
        <v/>
      </c>
      <c r="N40" s="74" t="str">
        <f>IF(N$15&gt;0,$C40*N$15,"")</f>
        <v/>
      </c>
      <c r="Q40" s="72"/>
    </row>
    <row r="41" spans="1:17" x14ac:dyDescent="0.25">
      <c r="B41" s="47" t="s">
        <v>85</v>
      </c>
      <c r="C41" s="45"/>
      <c r="H41" s="71"/>
      <c r="J41" s="74" t="str">
        <f>IF(J$15&gt;0,$C41*J$15,"")</f>
        <v/>
      </c>
      <c r="L41" s="74" t="str">
        <f>IF(L$15&gt;0,$C41*L$15,"")</f>
        <v/>
      </c>
      <c r="N41" s="74" t="str">
        <f>IF(N$15&gt;0,$C41*N$15,"")</f>
        <v/>
      </c>
      <c r="Q41" s="72"/>
    </row>
    <row r="42" spans="1:17" x14ac:dyDescent="0.25">
      <c r="B42" s="47" t="s">
        <v>86</v>
      </c>
      <c r="C42" s="46"/>
      <c r="H42" s="71"/>
      <c r="J42" s="54" t="str">
        <f>IF(J$15&gt;0,$C42*J$15,"")</f>
        <v/>
      </c>
      <c r="L42" s="54" t="str">
        <f>IF(L$15&gt;0,$C42*L$15,"")</f>
        <v/>
      </c>
      <c r="N42" s="54" t="str">
        <f>IF(N$15&gt;0,$C42*N$15,"")</f>
        <v/>
      </c>
      <c r="Q42" s="72"/>
    </row>
    <row r="43" spans="1:17" x14ac:dyDescent="0.25">
      <c r="B43" s="25" t="s">
        <v>57</v>
      </c>
      <c r="C43" s="23">
        <f>C40+C41+C42</f>
        <v>0</v>
      </c>
      <c r="D43" s="33"/>
      <c r="H43" s="71"/>
      <c r="J43" s="74" t="str">
        <f>IF(J$15&gt;0,J40+J41+J42,"")</f>
        <v/>
      </c>
      <c r="L43" s="74" t="str">
        <f>IF(L$15&gt;0,L40+L41+L42,"")</f>
        <v/>
      </c>
      <c r="N43" s="74" t="str">
        <f>IF(N$15&gt;0,N40+N41+N42,"")</f>
        <v/>
      </c>
      <c r="Q43" s="72"/>
    </row>
    <row r="44" spans="1:17" x14ac:dyDescent="0.25">
      <c r="H44" s="71"/>
      <c r="Q44" s="72"/>
    </row>
    <row r="45" spans="1:17" x14ac:dyDescent="0.25">
      <c r="B45" s="27" t="s">
        <v>58</v>
      </c>
      <c r="C45" s="28">
        <f>C37+C43</f>
        <v>0</v>
      </c>
      <c r="H45" s="71"/>
      <c r="J45" s="76">
        <f>IF(J$15&gt;0,J37+J43,)</f>
        <v>0</v>
      </c>
      <c r="L45" s="76">
        <f>IF(L$15&gt;0,L37+L43,)</f>
        <v>0</v>
      </c>
      <c r="N45" s="76">
        <f>IF(N$15&gt;0,N37+N43,)</f>
        <v>0</v>
      </c>
      <c r="P45" s="76" t="str">
        <f>IF((J15+L15+N15)=0,"",J45+L45+N45)</f>
        <v/>
      </c>
      <c r="Q45" s="72"/>
    </row>
    <row r="46" spans="1:17" x14ac:dyDescent="0.25">
      <c r="H46" s="71"/>
      <c r="Q46" s="72"/>
    </row>
    <row r="47" spans="1:17" x14ac:dyDescent="0.25">
      <c r="H47" s="71"/>
      <c r="Q47" s="72"/>
    </row>
    <row r="48" spans="1:17" ht="18.75" x14ac:dyDescent="0.3">
      <c r="A48" s="24" t="s">
        <v>59</v>
      </c>
      <c r="H48" s="71"/>
      <c r="Q48" s="72"/>
    </row>
    <row r="49" spans="1:17" x14ac:dyDescent="0.25">
      <c r="B49" s="25" t="s">
        <v>60</v>
      </c>
      <c r="C49" s="45"/>
      <c r="D49" s="23" t="s">
        <v>68</v>
      </c>
      <c r="H49" s="71"/>
      <c r="J49" s="74" t="str">
        <f>IF(J$15&gt;0,$C49*J$15,"")</f>
        <v/>
      </c>
      <c r="L49" s="74" t="str">
        <f>IF(L$15&gt;0,$C49*L$15,"")</f>
        <v/>
      </c>
      <c r="N49" s="74" t="str">
        <f>IF(N$15&gt;0,$C49*N$15,"")</f>
        <v/>
      </c>
      <c r="Q49" s="72"/>
    </row>
    <row r="50" spans="1:17" x14ac:dyDescent="0.25">
      <c r="B50" s="25" t="s">
        <v>61</v>
      </c>
      <c r="C50" s="45"/>
      <c r="H50" s="71"/>
      <c r="J50" s="74" t="str">
        <f>IF(J$15&gt;0,$C50*J$15,"")</f>
        <v/>
      </c>
      <c r="L50" s="74" t="str">
        <f>IF(L$15&gt;0,$C50*L$15,"")</f>
        <v/>
      </c>
      <c r="N50" s="74" t="str">
        <f>IF(N$15&gt;0,$C50*N$15,"")</f>
        <v/>
      </c>
      <c r="Q50" s="72"/>
    </row>
    <row r="51" spans="1:17" x14ac:dyDescent="0.25">
      <c r="B51" s="25" t="s">
        <v>62</v>
      </c>
      <c r="C51" s="45"/>
      <c r="D51" s="23" t="s">
        <v>69</v>
      </c>
      <c r="H51" s="71"/>
      <c r="J51" s="74" t="str">
        <f>IF(J$15&gt;0,$C51*J$15,"")</f>
        <v/>
      </c>
      <c r="L51" s="74" t="str">
        <f>IF(L$15&gt;0,$C51*L$15,"")</f>
        <v/>
      </c>
      <c r="N51" s="74" t="str">
        <f>IF(N$15&gt;0,$C51*N$15,"")</f>
        <v/>
      </c>
      <c r="Q51" s="72"/>
    </row>
    <row r="52" spans="1:17" x14ac:dyDescent="0.25">
      <c r="B52" s="25" t="s">
        <v>63</v>
      </c>
      <c r="C52" s="45"/>
      <c r="H52" s="71"/>
      <c r="J52" s="74" t="str">
        <f>IF(J$15&gt;0,$C52*J$15,"")</f>
        <v/>
      </c>
      <c r="L52" s="74" t="str">
        <f>IF(L$15&gt;0,$C52*L$15,"")</f>
        <v/>
      </c>
      <c r="N52" s="74" t="str">
        <f>IF(N$15&gt;0,$C52*N$15,"")</f>
        <v/>
      </c>
      <c r="Q52" s="72"/>
    </row>
    <row r="53" spans="1:17" x14ac:dyDescent="0.25">
      <c r="B53" s="25" t="s">
        <v>59</v>
      </c>
      <c r="C53" s="45"/>
      <c r="H53" s="71"/>
      <c r="J53" s="74" t="str">
        <f>IF(J$15&gt;0,$C53*J$15,"")</f>
        <v/>
      </c>
      <c r="L53" s="74" t="str">
        <f>IF(L$15&gt;0,$C53*L$15,"")</f>
        <v/>
      </c>
      <c r="N53" s="74" t="str">
        <f>IF(N$15&gt;0,$C53*N$15,"")</f>
        <v/>
      </c>
      <c r="Q53" s="72"/>
    </row>
    <row r="54" spans="1:17" x14ac:dyDescent="0.25">
      <c r="C54" s="22"/>
      <c r="H54" s="71"/>
      <c r="Q54" s="72"/>
    </row>
    <row r="55" spans="1:17" x14ac:dyDescent="0.25">
      <c r="B55" s="27" t="s">
        <v>64</v>
      </c>
      <c r="C55" s="28">
        <f>SUM(C49:C53)</f>
        <v>0</v>
      </c>
      <c r="H55" s="71"/>
      <c r="J55" s="76">
        <f>IF(J$15&gt;0,J49+J50+J51+J52+J53,)</f>
        <v>0</v>
      </c>
      <c r="L55" s="76">
        <f>IF(L$15&gt;0,L49+L50+L51+L52+L53,)</f>
        <v>0</v>
      </c>
      <c r="N55" s="76">
        <f>IF(N$15&gt;0,N49+N50+N51+N52+N53,)</f>
        <v>0</v>
      </c>
      <c r="P55" s="76" t="str">
        <f>IF((J15+L15+N15)=0,"",J55+L55+N55)</f>
        <v/>
      </c>
      <c r="Q55" s="72"/>
    </row>
    <row r="56" spans="1:17" x14ac:dyDescent="0.25">
      <c r="H56" s="71"/>
      <c r="Q56" s="72"/>
    </row>
    <row r="57" spans="1:17" ht="16.5" thickBot="1" x14ac:dyDescent="0.3">
      <c r="C57" s="31"/>
      <c r="H57" s="71"/>
      <c r="J57" s="31"/>
      <c r="L57" s="31"/>
      <c r="N57" s="31"/>
      <c r="P57" s="31"/>
      <c r="Q57" s="72"/>
    </row>
    <row r="58" spans="1:17" x14ac:dyDescent="0.25">
      <c r="A58" s="32" t="s">
        <v>65</v>
      </c>
      <c r="C58" s="28">
        <f>IF(E11&lt;&gt;1,E21+C45+C55,C21+C45+C55)</f>
        <v>0</v>
      </c>
      <c r="H58" s="71"/>
      <c r="J58" s="76">
        <f>IF(J$15&gt;0,J21+J45+J55,)</f>
        <v>0</v>
      </c>
      <c r="L58" s="76">
        <f>IF(L$15&gt;0,L21+L45+L55,)</f>
        <v>0</v>
      </c>
      <c r="N58" s="76">
        <f>IF(N$15&gt;0,N21+N45+N55,)</f>
        <v>0</v>
      </c>
      <c r="P58" s="76" t="str">
        <f>IF((J15+L15+N15)=0,"",J58+L58+N58)</f>
        <v/>
      </c>
      <c r="Q58" s="72"/>
    </row>
    <row r="59" spans="1:17" ht="16.5" thickBot="1" x14ac:dyDescent="0.3">
      <c r="A59" s="32" t="s">
        <v>66</v>
      </c>
      <c r="H59" s="77"/>
      <c r="I59" s="78"/>
      <c r="J59" s="78"/>
      <c r="K59" s="78"/>
      <c r="L59" s="78"/>
      <c r="M59" s="78"/>
      <c r="N59" s="78"/>
      <c r="O59" s="78"/>
      <c r="P59" s="78"/>
      <c r="Q59" s="79"/>
    </row>
  </sheetData>
  <sheetProtection algorithmName="SHA-512" hashValue="JknfsGmLXyqaZ3WITfrk/OlRaJ1QMtoW5AXaWTajlb0eUOQkAl9DumiyzouzWGmsPDkwa6o4cB+iGJnGNALP2A==" saltValue="y1gHOR4YJMyjreFjZMHWVw==" spinCount="100000" sheet="1" objects="1" scenarios="1"/>
  <mergeCells count="6">
    <mergeCell ref="A2:G5"/>
    <mergeCell ref="L11:P11"/>
    <mergeCell ref="L12:P12"/>
    <mergeCell ref="A8:E10"/>
    <mergeCell ref="I8:P9"/>
    <mergeCell ref="L10:P10"/>
  </mergeCells>
  <hyperlinks>
    <hyperlink ref="A26" r:id="rId1" location="/" xr:uid="{28F7059C-690D-4E13-8559-55C56CFC8BC7}"/>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72F6A-81D8-460B-A6AE-FBCA0481D980}">
  <sheetPr>
    <tabColor rgb="FFCCCCFF"/>
  </sheetPr>
  <dimension ref="A1:C34"/>
  <sheetViews>
    <sheetView workbookViewId="0">
      <selection activeCell="K1" sqref="K1"/>
    </sheetView>
  </sheetViews>
  <sheetFormatPr defaultColWidth="9.140625" defaultRowHeight="18.75" x14ac:dyDescent="0.3"/>
  <cols>
    <col min="1" max="1" width="9.140625" style="24"/>
    <col min="2" max="2" width="11.42578125" style="35" bestFit="1" customWidth="1"/>
    <col min="3" max="16384" width="9.140625" style="36"/>
  </cols>
  <sheetData>
    <row r="1" spans="1:3" ht="23.25" x14ac:dyDescent="0.35">
      <c r="A1" s="84" t="s">
        <v>70</v>
      </c>
    </row>
    <row r="3" spans="1:3" ht="21" x14ac:dyDescent="0.35">
      <c r="A3" s="37" t="s">
        <v>79</v>
      </c>
    </row>
    <row r="4" spans="1:3" x14ac:dyDescent="0.3">
      <c r="B4" s="36"/>
    </row>
    <row r="5" spans="1:3" x14ac:dyDescent="0.3">
      <c r="B5" s="35">
        <f>IF('Benefits &amp; Expenses'!E$11&lt;&gt;1,'Benefits &amp; Expenses'!E17,'Benefits &amp; Expenses'!C17)</f>
        <v>0</v>
      </c>
      <c r="C5" s="36" t="s">
        <v>42</v>
      </c>
    </row>
    <row r="7" spans="1:3" x14ac:dyDescent="0.3">
      <c r="B7" s="35">
        <f>IF('Benefits &amp; Expenses'!E$11&lt;&gt;1,'Benefits &amp; Expenses'!E19,'Benefits &amp; Expenses'!C19)</f>
        <v>0</v>
      </c>
      <c r="C7" s="36" t="s">
        <v>43</v>
      </c>
    </row>
    <row r="8" spans="1:3" x14ac:dyDescent="0.3">
      <c r="B8" s="38"/>
    </row>
    <row r="9" spans="1:3" x14ac:dyDescent="0.3">
      <c r="B9" s="39">
        <f>B5+B7</f>
        <v>0</v>
      </c>
      <c r="C9" s="24" t="s">
        <v>71</v>
      </c>
    </row>
    <row r="12" spans="1:3" ht="21" x14ac:dyDescent="0.35">
      <c r="A12" s="37" t="s">
        <v>87</v>
      </c>
    </row>
    <row r="13" spans="1:3" x14ac:dyDescent="0.3">
      <c r="B13" s="35">
        <f>'Benefits &amp; Expenses'!C33</f>
        <v>0</v>
      </c>
      <c r="C13" s="36" t="s">
        <v>53</v>
      </c>
    </row>
    <row r="14" spans="1:3" x14ac:dyDescent="0.3">
      <c r="B14" s="35">
        <f>'Benefits &amp; Expenses'!C34</f>
        <v>0</v>
      </c>
      <c r="C14" s="36" t="s">
        <v>54</v>
      </c>
    </row>
    <row r="15" spans="1:3" x14ac:dyDescent="0.3">
      <c r="B15" s="35">
        <f>'Benefits &amp; Expenses'!C35</f>
        <v>0</v>
      </c>
      <c r="C15" s="36" t="s">
        <v>55</v>
      </c>
    </row>
    <row r="16" spans="1:3" x14ac:dyDescent="0.3">
      <c r="B16" s="38">
        <f>'Benefits &amp; Expenses'!C36</f>
        <v>0</v>
      </c>
      <c r="C16" s="36" t="s">
        <v>80</v>
      </c>
    </row>
    <row r="17" spans="1:3" x14ac:dyDescent="0.3">
      <c r="B17" s="35">
        <f>SUM(B13:B16)</f>
        <v>0</v>
      </c>
      <c r="C17" s="36" t="s">
        <v>72</v>
      </c>
    </row>
    <row r="19" spans="1:3" x14ac:dyDescent="0.3">
      <c r="B19" s="35">
        <f>'Benefits &amp; Expenses'!C43</f>
        <v>0</v>
      </c>
      <c r="C19" s="36" t="s">
        <v>73</v>
      </c>
    </row>
    <row r="21" spans="1:3" x14ac:dyDescent="0.3">
      <c r="B21" s="39">
        <f>B17+B19</f>
        <v>0</v>
      </c>
      <c r="C21" s="24" t="s">
        <v>74</v>
      </c>
    </row>
    <row r="24" spans="1:3" ht="21" x14ac:dyDescent="0.35">
      <c r="A24" s="37" t="s">
        <v>75</v>
      </c>
    </row>
    <row r="25" spans="1:3" x14ac:dyDescent="0.3">
      <c r="B25" s="35">
        <f>'Benefits &amp; Expenses'!C49</f>
        <v>0</v>
      </c>
      <c r="C25" s="36" t="s">
        <v>60</v>
      </c>
    </row>
    <row r="26" spans="1:3" x14ac:dyDescent="0.3">
      <c r="B26" s="35">
        <f>'Benefits &amp; Expenses'!C50</f>
        <v>0</v>
      </c>
      <c r="C26" s="36" t="s">
        <v>61</v>
      </c>
    </row>
    <row r="27" spans="1:3" x14ac:dyDescent="0.3">
      <c r="B27" s="35">
        <f>'Benefits &amp; Expenses'!C51</f>
        <v>0</v>
      </c>
      <c r="C27" s="36" t="s">
        <v>62</v>
      </c>
    </row>
    <row r="28" spans="1:3" x14ac:dyDescent="0.3">
      <c r="B28" s="35">
        <f>'Benefits &amp; Expenses'!C52</f>
        <v>0</v>
      </c>
      <c r="C28" s="36" t="s">
        <v>63</v>
      </c>
    </row>
    <row r="29" spans="1:3" x14ac:dyDescent="0.3">
      <c r="B29" s="35">
        <f>'Benefits &amp; Expenses'!C53</f>
        <v>0</v>
      </c>
      <c r="C29" s="36" t="s">
        <v>76</v>
      </c>
    </row>
    <row r="31" spans="1:3" x14ac:dyDescent="0.3">
      <c r="B31" s="39">
        <f>SUM(B25:B29)</f>
        <v>0</v>
      </c>
      <c r="C31" s="24" t="s">
        <v>77</v>
      </c>
    </row>
    <row r="33" spans="2:3" ht="19.5" thickBot="1" x14ac:dyDescent="0.35">
      <c r="B33" s="63"/>
    </row>
    <row r="34" spans="2:3" ht="21.75" thickTop="1" x14ac:dyDescent="0.35">
      <c r="B34" s="40">
        <f>B9+B21+B31</f>
        <v>0</v>
      </c>
      <c r="C34" s="37" t="s">
        <v>78</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DD29F-3CEF-462C-8FAB-977125DDC9B3}">
  <sheetPr>
    <tabColor rgb="FFFFCC99"/>
    <pageSetUpPr fitToPage="1"/>
  </sheetPr>
  <dimension ref="A1:L42"/>
  <sheetViews>
    <sheetView workbookViewId="0">
      <selection activeCell="N1" sqref="N1"/>
    </sheetView>
  </sheetViews>
  <sheetFormatPr defaultColWidth="9.140625" defaultRowHeight="18.75" x14ac:dyDescent="0.3"/>
  <cols>
    <col min="1" max="1" width="9.140625" style="24"/>
    <col min="2" max="2" width="26.140625" style="36" customWidth="1"/>
    <col min="3" max="3" width="2.7109375" style="36" customWidth="1"/>
    <col min="4" max="4" width="10" style="36" customWidth="1"/>
    <col min="5" max="5" width="5.140625" style="36" customWidth="1"/>
    <col min="6" max="6" width="10" style="36" customWidth="1"/>
    <col min="7" max="7" width="5.140625" style="36" customWidth="1"/>
    <col min="8" max="8" width="10" style="36" customWidth="1"/>
    <col min="9" max="9" width="5.140625" style="36" customWidth="1"/>
    <col min="10" max="10" width="10" style="36" customWidth="1"/>
    <col min="11" max="11" width="5.140625" style="36" customWidth="1"/>
    <col min="12" max="12" width="10" style="36" customWidth="1"/>
    <col min="13" max="16384" width="9.140625" style="36"/>
  </cols>
  <sheetData>
    <row r="1" spans="1:12" ht="23.25" x14ac:dyDescent="0.35">
      <c r="A1" s="84" t="s">
        <v>70</v>
      </c>
    </row>
    <row r="2" spans="1:12" ht="13.5" customHeight="1" x14ac:dyDescent="0.35">
      <c r="A2" s="34"/>
    </row>
    <row r="3" spans="1:12" ht="23.25" x14ac:dyDescent="0.35">
      <c r="A3" s="34"/>
      <c r="D3" s="67">
        <f>'Benefits &amp; Expenses'!L10</f>
        <v>0</v>
      </c>
      <c r="E3" s="65"/>
      <c r="F3" s="65"/>
      <c r="G3" s="65"/>
      <c r="H3" s="66"/>
    </row>
    <row r="4" spans="1:12" ht="13.5" customHeight="1" x14ac:dyDescent="0.35">
      <c r="A4" s="34"/>
      <c r="D4" s="58"/>
    </row>
    <row r="5" spans="1:12" ht="23.25" x14ac:dyDescent="0.35">
      <c r="A5" s="34"/>
      <c r="D5" s="58"/>
      <c r="F5" s="67">
        <f>'Benefits &amp; Expenses'!L11</f>
        <v>0</v>
      </c>
      <c r="G5" s="65"/>
      <c r="H5" s="65"/>
      <c r="I5" s="65"/>
      <c r="J5" s="66"/>
    </row>
    <row r="6" spans="1:12" ht="13.5" customHeight="1" x14ac:dyDescent="0.35">
      <c r="A6" s="34"/>
      <c r="D6" s="58"/>
      <c r="F6" s="58"/>
    </row>
    <row r="7" spans="1:12" ht="23.25" x14ac:dyDescent="0.35">
      <c r="A7" s="34"/>
      <c r="D7" s="58"/>
      <c r="F7" s="58"/>
      <c r="H7" s="67">
        <f>'Benefits &amp; Expenses'!L12</f>
        <v>0</v>
      </c>
      <c r="I7" s="65"/>
      <c r="J7" s="65"/>
      <c r="K7" s="65"/>
      <c r="L7" s="66"/>
    </row>
    <row r="8" spans="1:12" ht="13.5" customHeight="1" x14ac:dyDescent="0.35">
      <c r="A8" s="34"/>
      <c r="D8" s="58"/>
      <c r="F8" s="58"/>
      <c r="H8" s="58"/>
    </row>
    <row r="9" spans="1:12" ht="23.25" x14ac:dyDescent="0.35">
      <c r="A9" s="34"/>
      <c r="B9" s="55" t="s">
        <v>101</v>
      </c>
      <c r="D9" s="59">
        <f>'Benefits &amp; Expenses'!J15</f>
        <v>0</v>
      </c>
      <c r="F9" s="59">
        <f>'Benefits &amp; Expenses'!L15</f>
        <v>0</v>
      </c>
      <c r="H9" s="59">
        <f>'Benefits &amp; Expenses'!N15</f>
        <v>0</v>
      </c>
      <c r="J9" s="56" t="s">
        <v>97</v>
      </c>
    </row>
    <row r="10" spans="1:12" x14ac:dyDescent="0.3">
      <c r="D10" s="58"/>
      <c r="F10" s="58"/>
      <c r="H10" s="58"/>
    </row>
    <row r="11" spans="1:12" ht="21" x14ac:dyDescent="0.35">
      <c r="A11" s="37" t="s">
        <v>107</v>
      </c>
      <c r="D11" s="58"/>
      <c r="F11" s="58"/>
      <c r="H11" s="58"/>
    </row>
    <row r="12" spans="1:12" ht="21" x14ac:dyDescent="0.35">
      <c r="A12" s="37" t="s">
        <v>108</v>
      </c>
      <c r="D12" s="58"/>
      <c r="F12" s="58"/>
      <c r="H12" s="58"/>
    </row>
    <row r="13" spans="1:12" x14ac:dyDescent="0.3">
      <c r="D13" s="58"/>
      <c r="F13" s="58"/>
      <c r="H13" s="58"/>
    </row>
    <row r="14" spans="1:12" x14ac:dyDescent="0.3">
      <c r="B14" s="55" t="s">
        <v>42</v>
      </c>
      <c r="D14" s="60" t="str">
        <f>'Benefits &amp; Expenses'!J17</f>
        <v/>
      </c>
      <c r="F14" s="60" t="str">
        <f>'Benefits &amp; Expenses'!L17</f>
        <v/>
      </c>
      <c r="H14" s="60" t="str">
        <f>'Benefits &amp; Expenses'!N17</f>
        <v/>
      </c>
      <c r="J14" s="35">
        <f>IF('Benefits &amp; Expenses'!E$11&lt;&gt;1,'Benefits &amp; Expenses'!E17,'Benefits &amp; Expenses'!C17)</f>
        <v>0</v>
      </c>
    </row>
    <row r="15" spans="1:12" x14ac:dyDescent="0.3">
      <c r="B15" s="55"/>
      <c r="D15" s="58"/>
      <c r="F15" s="58"/>
      <c r="H15" s="58"/>
      <c r="J15" s="35"/>
    </row>
    <row r="16" spans="1:12" x14ac:dyDescent="0.3">
      <c r="B16" s="55" t="s">
        <v>106</v>
      </c>
      <c r="D16" s="60" t="str">
        <f>'Benefits &amp; Expenses'!J19</f>
        <v/>
      </c>
      <c r="F16" s="60" t="str">
        <f>'Benefits &amp; Expenses'!L19</f>
        <v/>
      </c>
      <c r="H16" s="60" t="str">
        <f>'Benefits &amp; Expenses'!N19</f>
        <v/>
      </c>
      <c r="J16" s="35">
        <f>IF('Benefits &amp; Expenses'!E$11&lt;&gt;1,'Benefits &amp; Expenses'!E19,'Benefits &amp; Expenses'!C19)</f>
        <v>0</v>
      </c>
    </row>
    <row r="17" spans="1:10" x14ac:dyDescent="0.3">
      <c r="B17" s="55"/>
      <c r="D17" s="58"/>
      <c r="F17" s="58"/>
      <c r="H17" s="58"/>
      <c r="J17" s="38"/>
    </row>
    <row r="18" spans="1:10" x14ac:dyDescent="0.3">
      <c r="B18" s="56" t="s">
        <v>71</v>
      </c>
      <c r="D18" s="61">
        <f>SUM(D14:D17)</f>
        <v>0</v>
      </c>
      <c r="F18" s="61">
        <f>SUM(F14:F17)</f>
        <v>0</v>
      </c>
      <c r="H18" s="61">
        <f>SUM(H14:H17)</f>
        <v>0</v>
      </c>
      <c r="J18" s="39">
        <f>J14+J16</f>
        <v>0</v>
      </c>
    </row>
    <row r="19" spans="1:10" x14ac:dyDescent="0.3">
      <c r="B19" s="55"/>
      <c r="D19" s="58"/>
      <c r="F19" s="58"/>
      <c r="H19" s="58"/>
      <c r="J19" s="35"/>
    </row>
    <row r="20" spans="1:10" ht="21" x14ac:dyDescent="0.35">
      <c r="A20" s="37" t="s">
        <v>104</v>
      </c>
      <c r="B20" s="55"/>
      <c r="D20" s="58"/>
      <c r="F20" s="58"/>
      <c r="H20" s="58"/>
      <c r="J20" s="35"/>
    </row>
    <row r="21" spans="1:10" ht="21" x14ac:dyDescent="0.35">
      <c r="A21" s="37" t="s">
        <v>105</v>
      </c>
      <c r="B21" s="55"/>
      <c r="D21" s="58"/>
      <c r="F21" s="58"/>
      <c r="H21" s="58"/>
      <c r="J21" s="35"/>
    </row>
    <row r="22" spans="1:10" x14ac:dyDescent="0.3">
      <c r="B22" s="55" t="s">
        <v>53</v>
      </c>
      <c r="D22" s="60" t="str">
        <f>'Benefits &amp; Expenses'!J33</f>
        <v/>
      </c>
      <c r="F22" s="60" t="str">
        <f>'Benefits &amp; Expenses'!L33</f>
        <v/>
      </c>
      <c r="H22" s="60" t="str">
        <f>'Benefits &amp; Expenses'!N33</f>
        <v/>
      </c>
      <c r="J22" s="35">
        <f>'Benefits &amp; Expenses'!C33</f>
        <v>0</v>
      </c>
    </row>
    <row r="23" spans="1:10" x14ac:dyDescent="0.3">
      <c r="B23" s="55" t="s">
        <v>54</v>
      </c>
      <c r="D23" s="60" t="str">
        <f>'Benefits &amp; Expenses'!J34</f>
        <v/>
      </c>
      <c r="F23" s="60" t="str">
        <f>'Benefits &amp; Expenses'!L34</f>
        <v/>
      </c>
      <c r="H23" s="60" t="str">
        <f>'Benefits &amp; Expenses'!N34</f>
        <v/>
      </c>
      <c r="J23" s="35">
        <f>'Benefits &amp; Expenses'!C34</f>
        <v>0</v>
      </c>
    </row>
    <row r="24" spans="1:10" x14ac:dyDescent="0.3">
      <c r="B24" s="55" t="s">
        <v>55</v>
      </c>
      <c r="D24" s="60" t="str">
        <f>'Benefits &amp; Expenses'!J35</f>
        <v/>
      </c>
      <c r="F24" s="60" t="str">
        <f>'Benefits &amp; Expenses'!L35</f>
        <v/>
      </c>
      <c r="H24" s="60" t="str">
        <f>'Benefits &amp; Expenses'!N35</f>
        <v/>
      </c>
      <c r="J24" s="35">
        <f>'Benefits &amp; Expenses'!C35</f>
        <v>0</v>
      </c>
    </row>
    <row r="25" spans="1:10" x14ac:dyDescent="0.3">
      <c r="B25" s="55" t="s">
        <v>80</v>
      </c>
      <c r="D25" s="60" t="str">
        <f>'Benefits &amp; Expenses'!J36</f>
        <v/>
      </c>
      <c r="F25" s="60" t="str">
        <f>'Benefits &amp; Expenses'!L36</f>
        <v/>
      </c>
      <c r="H25" s="60" t="str">
        <f>'Benefits &amp; Expenses'!N36</f>
        <v/>
      </c>
      <c r="J25" s="38">
        <f>'Benefits &amp; Expenses'!C36</f>
        <v>0</v>
      </c>
    </row>
    <row r="26" spans="1:10" x14ac:dyDescent="0.3">
      <c r="B26" s="55" t="s">
        <v>72</v>
      </c>
      <c r="D26" s="60" t="str">
        <f>'Benefits &amp; Expenses'!J37</f>
        <v/>
      </c>
      <c r="F26" s="60" t="str">
        <f>'Benefits &amp; Expenses'!L37</f>
        <v/>
      </c>
      <c r="H26" s="60" t="str">
        <f>'Benefits &amp; Expenses'!N37</f>
        <v/>
      </c>
      <c r="J26" s="35">
        <f>SUM(J22:J25)</f>
        <v>0</v>
      </c>
    </row>
    <row r="27" spans="1:10" x14ac:dyDescent="0.3">
      <c r="B27" s="55"/>
      <c r="D27" s="58"/>
      <c r="F27" s="58"/>
      <c r="H27" s="58"/>
      <c r="J27" s="35"/>
    </row>
    <row r="28" spans="1:10" x14ac:dyDescent="0.3">
      <c r="B28" s="55" t="s">
        <v>73</v>
      </c>
      <c r="D28" s="60" t="str">
        <f>'Benefits &amp; Expenses'!J43</f>
        <v/>
      </c>
      <c r="F28" s="60" t="str">
        <f>'Benefits &amp; Expenses'!L43</f>
        <v/>
      </c>
      <c r="H28" s="60" t="str">
        <f>'Benefits &amp; Expenses'!N43</f>
        <v/>
      </c>
      <c r="J28" s="35">
        <f>'Benefits &amp; Expenses'!C43</f>
        <v>0</v>
      </c>
    </row>
    <row r="29" spans="1:10" x14ac:dyDescent="0.3">
      <c r="B29" s="55"/>
      <c r="D29" s="58"/>
      <c r="F29" s="58"/>
      <c r="H29" s="58"/>
      <c r="J29" s="35"/>
    </row>
    <row r="30" spans="1:10" x14ac:dyDescent="0.3">
      <c r="B30" s="56" t="s">
        <v>74</v>
      </c>
      <c r="D30" s="61">
        <f>SUM(D22:D29)</f>
        <v>0</v>
      </c>
      <c r="F30" s="61">
        <f>SUM(F22:F29)</f>
        <v>0</v>
      </c>
      <c r="H30" s="61">
        <f>SUM(H22:H29)</f>
        <v>0</v>
      </c>
      <c r="J30" s="39">
        <f>J26+J28</f>
        <v>0</v>
      </c>
    </row>
    <row r="31" spans="1:10" x14ac:dyDescent="0.3">
      <c r="B31" s="55"/>
      <c r="D31" s="58"/>
      <c r="F31" s="58"/>
      <c r="H31" s="58"/>
      <c r="J31" s="35"/>
    </row>
    <row r="32" spans="1:10" ht="21" x14ac:dyDescent="0.35">
      <c r="A32" s="37" t="s">
        <v>75</v>
      </c>
      <c r="B32" s="55"/>
      <c r="D32" s="58"/>
      <c r="F32" s="58"/>
      <c r="H32" s="58"/>
      <c r="J32" s="35"/>
    </row>
    <row r="33" spans="2:10" x14ac:dyDescent="0.3">
      <c r="B33" s="55" t="s">
        <v>60</v>
      </c>
      <c r="D33" s="60" t="str">
        <f>'Benefits &amp; Expenses'!J49</f>
        <v/>
      </c>
      <c r="F33" s="60" t="str">
        <f>'Benefits &amp; Expenses'!L49</f>
        <v/>
      </c>
      <c r="H33" s="60" t="str">
        <f>'Benefits &amp; Expenses'!N49</f>
        <v/>
      </c>
      <c r="J33" s="35">
        <f>'Benefits &amp; Expenses'!C49</f>
        <v>0</v>
      </c>
    </row>
    <row r="34" spans="2:10" x14ac:dyDescent="0.3">
      <c r="B34" s="55" t="s">
        <v>61</v>
      </c>
      <c r="D34" s="60" t="str">
        <f>'Benefits &amp; Expenses'!J50</f>
        <v/>
      </c>
      <c r="F34" s="60" t="str">
        <f>'Benefits &amp; Expenses'!L50</f>
        <v/>
      </c>
      <c r="H34" s="60" t="str">
        <f>'Benefits &amp; Expenses'!N50</f>
        <v/>
      </c>
      <c r="J34" s="35">
        <f>'Benefits &amp; Expenses'!C50</f>
        <v>0</v>
      </c>
    </row>
    <row r="35" spans="2:10" x14ac:dyDescent="0.3">
      <c r="B35" s="55" t="s">
        <v>62</v>
      </c>
      <c r="D35" s="60" t="str">
        <f>'Benefits &amp; Expenses'!J51</f>
        <v/>
      </c>
      <c r="F35" s="60" t="str">
        <f>'Benefits &amp; Expenses'!L51</f>
        <v/>
      </c>
      <c r="H35" s="60" t="str">
        <f>'Benefits &amp; Expenses'!N51</f>
        <v/>
      </c>
      <c r="J35" s="35">
        <f>'Benefits &amp; Expenses'!C51</f>
        <v>0</v>
      </c>
    </row>
    <row r="36" spans="2:10" x14ac:dyDescent="0.3">
      <c r="B36" s="55" t="s">
        <v>63</v>
      </c>
      <c r="D36" s="60" t="str">
        <f>'Benefits &amp; Expenses'!J52</f>
        <v/>
      </c>
      <c r="F36" s="60" t="str">
        <f>'Benefits &amp; Expenses'!L52</f>
        <v/>
      </c>
      <c r="H36" s="60" t="str">
        <f>'Benefits &amp; Expenses'!N52</f>
        <v/>
      </c>
      <c r="J36" s="35">
        <f>'Benefits &amp; Expenses'!C52</f>
        <v>0</v>
      </c>
    </row>
    <row r="37" spans="2:10" x14ac:dyDescent="0.3">
      <c r="B37" s="55" t="s">
        <v>76</v>
      </c>
      <c r="D37" s="60" t="str">
        <f>'Benefits &amp; Expenses'!J53</f>
        <v/>
      </c>
      <c r="F37" s="60" t="str">
        <f>'Benefits &amp; Expenses'!L53</f>
        <v/>
      </c>
      <c r="H37" s="60" t="str">
        <f>'Benefits &amp; Expenses'!N53</f>
        <v/>
      </c>
      <c r="J37" s="35">
        <f>'Benefits &amp; Expenses'!C53</f>
        <v>0</v>
      </c>
    </row>
    <row r="38" spans="2:10" x14ac:dyDescent="0.3">
      <c r="B38" s="55"/>
      <c r="D38" s="58"/>
      <c r="F38" s="58"/>
      <c r="H38" s="58"/>
      <c r="J38" s="35"/>
    </row>
    <row r="39" spans="2:10" x14ac:dyDescent="0.3">
      <c r="B39" s="56" t="s">
        <v>77</v>
      </c>
      <c r="D39" s="61">
        <f>SUM(D33:D38)</f>
        <v>0</v>
      </c>
      <c r="F39" s="61">
        <f>SUM(F33:F38)</f>
        <v>0</v>
      </c>
      <c r="H39" s="61">
        <f>SUM(H33:H38)</f>
        <v>0</v>
      </c>
      <c r="J39" s="39">
        <f>SUM(J33:J37)</f>
        <v>0</v>
      </c>
    </row>
    <row r="40" spans="2:10" x14ac:dyDescent="0.3">
      <c r="B40" s="55"/>
      <c r="D40" s="58"/>
      <c r="F40" s="58"/>
      <c r="H40" s="58"/>
      <c r="J40" s="35"/>
    </row>
    <row r="41" spans="2:10" ht="21.75" thickBot="1" x14ac:dyDescent="0.4">
      <c r="B41" s="57" t="s">
        <v>102</v>
      </c>
      <c r="D41" s="64"/>
      <c r="F41" s="64"/>
      <c r="H41" s="64"/>
      <c r="J41" s="82"/>
    </row>
    <row r="42" spans="2:10" ht="21.75" thickTop="1" x14ac:dyDescent="0.35">
      <c r="B42" s="57" t="s">
        <v>103</v>
      </c>
      <c r="D42" s="62">
        <f>D39+D30+D18</f>
        <v>0</v>
      </c>
      <c r="F42" s="62">
        <f>F39+F30+F18</f>
        <v>0</v>
      </c>
      <c r="H42" s="62">
        <f>H39+H30+H18</f>
        <v>0</v>
      </c>
      <c r="J42" s="39">
        <f>J18+J30+J39</f>
        <v>0</v>
      </c>
    </row>
  </sheetData>
  <pageMargins left="0.7" right="0.7" top="0.75" bottom="0.75" header="0.3" footer="0.3"/>
  <pageSetup scale="83"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2E4C1-6381-4719-9804-F721B2DE69D0}">
  <sheetPr>
    <tabColor rgb="FFFF0000"/>
  </sheetPr>
  <dimension ref="A1:Q33"/>
  <sheetViews>
    <sheetView workbookViewId="0">
      <selection activeCell="B16" sqref="B16"/>
    </sheetView>
  </sheetViews>
  <sheetFormatPr defaultColWidth="9.140625" defaultRowHeight="15.75" x14ac:dyDescent="0.25"/>
  <cols>
    <col min="1" max="1" width="12.140625" style="114" bestFit="1" customWidth="1"/>
    <col min="2" max="2" width="95.7109375" style="83" customWidth="1"/>
    <col min="3" max="3" width="9.140625" style="22"/>
    <col min="4" max="4" width="6.85546875" style="22" customWidth="1"/>
    <col min="5" max="5" width="19.7109375" style="22" customWidth="1"/>
    <col min="6" max="6" width="7.85546875" style="22" bestFit="1" customWidth="1"/>
    <col min="7" max="7" width="6.140625" style="22" bestFit="1" customWidth="1"/>
    <col min="8" max="8" width="9" style="22" bestFit="1" customWidth="1"/>
    <col min="9" max="9" width="9.42578125" style="22" bestFit="1" customWidth="1"/>
    <col min="10" max="10" width="10.7109375" style="22" bestFit="1" customWidth="1"/>
    <col min="11" max="11" width="8.42578125" style="22" bestFit="1" customWidth="1"/>
    <col min="12" max="12" width="7.7109375" style="22" bestFit="1" customWidth="1"/>
    <col min="13" max="13" width="8.42578125" style="22" bestFit="1" customWidth="1"/>
    <col min="14" max="15" width="9.7109375" style="22" bestFit="1" customWidth="1"/>
    <col min="16" max="16" width="10.28515625" style="22" bestFit="1" customWidth="1"/>
    <col min="17" max="17" width="6.5703125" style="22" bestFit="1" customWidth="1"/>
    <col min="18" max="16384" width="9.140625" style="22"/>
  </cols>
  <sheetData>
    <row r="1" spans="1:17" ht="33.75" customHeight="1" x14ac:dyDescent="0.25">
      <c r="A1" s="114">
        <v>44684</v>
      </c>
      <c r="B1" s="83" t="s">
        <v>190</v>
      </c>
      <c r="D1" s="28" t="s">
        <v>191</v>
      </c>
      <c r="E1" s="115"/>
      <c r="F1" s="116"/>
      <c r="G1" s="115"/>
      <c r="H1" s="115"/>
    </row>
    <row r="2" spans="1:17" ht="31.5" x14ac:dyDescent="0.25">
      <c r="A2" s="114">
        <v>44854</v>
      </c>
      <c r="B2" s="83" t="s">
        <v>192</v>
      </c>
      <c r="D2" s="28" t="s">
        <v>193</v>
      </c>
      <c r="E2" s="23"/>
      <c r="F2" s="116"/>
      <c r="G2" s="115"/>
      <c r="H2" s="115"/>
    </row>
    <row r="3" spans="1:17" x14ac:dyDescent="0.25">
      <c r="D3" s="23"/>
      <c r="E3" s="48" t="s">
        <v>42</v>
      </c>
      <c r="F3" s="116">
        <v>40675</v>
      </c>
      <c r="G3" s="115"/>
      <c r="H3" s="115"/>
    </row>
    <row r="4" spans="1:17" ht="27" customHeight="1" x14ac:dyDescent="0.25">
      <c r="A4" s="114">
        <v>44990</v>
      </c>
      <c r="B4" s="83" t="s">
        <v>194</v>
      </c>
      <c r="D4" s="23"/>
      <c r="E4" s="117" t="s">
        <v>195</v>
      </c>
      <c r="F4" s="149" t="s">
        <v>196</v>
      </c>
      <c r="G4" s="149"/>
      <c r="H4" s="149"/>
      <c r="I4" s="149"/>
      <c r="J4" s="149"/>
      <c r="K4" s="149"/>
      <c r="L4" s="149"/>
      <c r="M4" s="149"/>
      <c r="N4" s="149"/>
    </row>
    <row r="5" spans="1:17" x14ac:dyDescent="0.25">
      <c r="A5" s="114">
        <v>44994</v>
      </c>
      <c r="B5" s="83" t="s">
        <v>197</v>
      </c>
      <c r="F5" s="116"/>
      <c r="G5" s="115"/>
      <c r="H5" s="115"/>
    </row>
    <row r="6" spans="1:17" x14ac:dyDescent="0.25">
      <c r="D6" s="118" t="s">
        <v>198</v>
      </c>
      <c r="F6" s="119" t="s">
        <v>199</v>
      </c>
      <c r="G6" s="115"/>
      <c r="H6" s="120" t="s">
        <v>200</v>
      </c>
      <c r="J6" s="22" t="s">
        <v>201</v>
      </c>
      <c r="K6" s="121">
        <v>0.04</v>
      </c>
      <c r="L6" s="121"/>
      <c r="M6" s="121"/>
    </row>
    <row r="7" spans="1:17" x14ac:dyDescent="0.25">
      <c r="A7" s="114">
        <v>45034</v>
      </c>
      <c r="B7" s="83" t="s">
        <v>202</v>
      </c>
      <c r="E7" s="25" t="s">
        <v>42</v>
      </c>
      <c r="F7" s="116">
        <v>41000</v>
      </c>
      <c r="G7" s="115"/>
      <c r="H7" s="116">
        <f>F7*90%</f>
        <v>36900</v>
      </c>
      <c r="J7" s="22" t="s">
        <v>203</v>
      </c>
      <c r="K7" s="23">
        <v>100000</v>
      </c>
      <c r="L7" s="23" t="s">
        <v>204</v>
      </c>
      <c r="M7" s="23">
        <v>150000</v>
      </c>
      <c r="N7" s="23">
        <v>200000</v>
      </c>
      <c r="O7" s="23">
        <v>250000</v>
      </c>
      <c r="P7" s="22" t="s">
        <v>205</v>
      </c>
    </row>
    <row r="8" spans="1:17" x14ac:dyDescent="0.25">
      <c r="D8" s="122" t="s">
        <v>206</v>
      </c>
      <c r="F8" s="23"/>
      <c r="H8" s="115"/>
      <c r="J8" s="22" t="s">
        <v>207</v>
      </c>
      <c r="K8" s="123">
        <f>-PMT($K$6/12,360,90%*K$7)</f>
        <v>429.67376591891355</v>
      </c>
      <c r="L8" s="124">
        <f>K8*12</f>
        <v>5156.085191026963</v>
      </c>
      <c r="M8" s="123">
        <f>-PMT($K$6/12,360,90%*M$7)</f>
        <v>644.51064887837038</v>
      </c>
      <c r="N8" s="123">
        <f>-PMT($K$6/12,360,90%*N$7)</f>
        <v>859.34753183782709</v>
      </c>
      <c r="O8" s="123">
        <f>-PMT($K$6/12,360,90%*O$7)</f>
        <v>1074.1844147972838</v>
      </c>
      <c r="P8" s="124">
        <f>12*(N8-K8)</f>
        <v>5156.085191026963</v>
      </c>
      <c r="Q8" s="125">
        <f>P8/100000</f>
        <v>5.1560851910269628E-2</v>
      </c>
    </row>
    <row r="9" spans="1:17" x14ac:dyDescent="0.25">
      <c r="D9" s="115"/>
      <c r="E9" s="120" t="s">
        <v>208</v>
      </c>
      <c r="F9" s="116">
        <v>12000</v>
      </c>
      <c r="G9" s="115"/>
      <c r="H9" s="115"/>
      <c r="J9" s="22" t="s">
        <v>209</v>
      </c>
      <c r="K9" s="123">
        <f>-PMT($K$6/12,360,80%*K$7)</f>
        <v>381.93223637236758</v>
      </c>
      <c r="L9" s="124">
        <f>K9*12</f>
        <v>4583.1868364684105</v>
      </c>
      <c r="M9" s="123">
        <f t="shared" ref="M9:O9" si="0">-PMT($K$6/12,360,80%*M$7)</f>
        <v>572.89835455855132</v>
      </c>
      <c r="N9" s="123">
        <f t="shared" si="0"/>
        <v>763.86447274473517</v>
      </c>
      <c r="O9" s="123">
        <f t="shared" si="0"/>
        <v>954.8305909309189</v>
      </c>
      <c r="P9" s="124">
        <f>12*(N9-K9)</f>
        <v>4583.1868364684105</v>
      </c>
      <c r="Q9" s="125">
        <f>P9/100000</f>
        <v>4.5831868364684107E-2</v>
      </c>
    </row>
    <row r="10" spans="1:17" x14ac:dyDescent="0.25">
      <c r="D10" s="115"/>
      <c r="E10" s="25" t="s">
        <v>210</v>
      </c>
      <c r="F10" s="116">
        <v>2000</v>
      </c>
      <c r="G10" s="115"/>
      <c r="H10" s="115"/>
    </row>
    <row r="11" spans="1:17" x14ac:dyDescent="0.25">
      <c r="D11" s="115"/>
      <c r="E11" s="25" t="s">
        <v>211</v>
      </c>
      <c r="F11" s="116">
        <v>1250</v>
      </c>
      <c r="G11" s="115"/>
      <c r="H11" s="115"/>
      <c r="J11" s="22" t="s">
        <v>201</v>
      </c>
      <c r="K11" s="121">
        <v>0.06</v>
      </c>
      <c r="L11" s="121"/>
      <c r="M11" s="121"/>
    </row>
    <row r="12" spans="1:17" x14ac:dyDescent="0.25">
      <c r="D12" s="115"/>
      <c r="E12" s="25" t="s">
        <v>212</v>
      </c>
      <c r="F12" s="126">
        <v>1000</v>
      </c>
      <c r="G12" s="115"/>
      <c r="H12" s="115"/>
      <c r="J12" s="22" t="s">
        <v>203</v>
      </c>
      <c r="K12" s="23">
        <v>100000</v>
      </c>
      <c r="L12" s="23"/>
      <c r="M12" s="23">
        <v>150000</v>
      </c>
      <c r="N12" s="23">
        <v>200000</v>
      </c>
      <c r="O12" s="23">
        <v>250000</v>
      </c>
      <c r="P12" s="22" t="s">
        <v>205</v>
      </c>
    </row>
    <row r="13" spans="1:17" x14ac:dyDescent="0.25">
      <c r="D13" s="115"/>
      <c r="E13" s="115"/>
      <c r="F13" s="116">
        <f>SUM(F9:F12)</f>
        <v>16250</v>
      </c>
      <c r="G13" s="115"/>
      <c r="H13" s="115"/>
      <c r="J13" s="22" t="s">
        <v>207</v>
      </c>
      <c r="K13" s="123">
        <f>-PMT($K$11/12,360,90%*K$12)</f>
        <v>539.59547263747709</v>
      </c>
      <c r="L13" s="124">
        <f>K13*12</f>
        <v>6475.145671649725</v>
      </c>
      <c r="M13" s="123">
        <f>-PMT($K$11/12,360,90%*M$12)</f>
        <v>809.39320895621574</v>
      </c>
      <c r="N13" s="123">
        <f>-PMT($K$11/12,360,90%*N$12)</f>
        <v>1079.1909452749542</v>
      </c>
      <c r="O13" s="123">
        <f>-PMT($K$11/12,360,90%*O$12)</f>
        <v>1348.9886815936927</v>
      </c>
      <c r="P13" s="124">
        <f t="shared" ref="P13:P14" si="1">12*(N13-K13)</f>
        <v>6475.145671649725</v>
      </c>
      <c r="Q13" s="125">
        <f>P13/100000</f>
        <v>6.4751456716497249E-2</v>
      </c>
    </row>
    <row r="14" spans="1:17" x14ac:dyDescent="0.25">
      <c r="F14" s="23"/>
      <c r="J14" s="22" t="s">
        <v>209</v>
      </c>
      <c r="K14" s="123">
        <f>-PMT($K$11/12,360,80%*K$12)</f>
        <v>479.64042012220182</v>
      </c>
      <c r="L14" s="124">
        <f>K14*12</f>
        <v>5755.6850414664223</v>
      </c>
      <c r="M14" s="123">
        <f>-PMT($K$11/12,360,80%*M$12)</f>
        <v>719.46063018330267</v>
      </c>
      <c r="N14" s="123">
        <f>-PMT($K$11/12,360,80%*N$12)</f>
        <v>959.28084024440363</v>
      </c>
      <c r="O14" s="123">
        <f>-PMT($K$11/12,360,80%*O$12)</f>
        <v>1199.1010503055047</v>
      </c>
      <c r="P14" s="124">
        <f t="shared" si="1"/>
        <v>5755.6850414664223</v>
      </c>
      <c r="Q14" s="125">
        <f>P14/100000</f>
        <v>5.7556850414664219E-2</v>
      </c>
    </row>
    <row r="15" spans="1:17" x14ac:dyDescent="0.25">
      <c r="E15" s="25" t="s">
        <v>24</v>
      </c>
      <c r="F15" s="116">
        <v>57000</v>
      </c>
      <c r="H15" s="116">
        <v>53000</v>
      </c>
    </row>
    <row r="16" spans="1:17" x14ac:dyDescent="0.25">
      <c r="J16" s="22" t="s">
        <v>201</v>
      </c>
      <c r="K16" s="121">
        <v>0.08</v>
      </c>
      <c r="L16" s="121"/>
      <c r="M16" s="121"/>
    </row>
    <row r="17" spans="5:17" x14ac:dyDescent="0.25">
      <c r="J17" s="22" t="s">
        <v>203</v>
      </c>
      <c r="K17" s="23">
        <v>100000</v>
      </c>
      <c r="L17" s="23"/>
      <c r="M17" s="23">
        <v>150000</v>
      </c>
      <c r="N17" s="23">
        <v>200000</v>
      </c>
      <c r="O17" s="23">
        <v>250000</v>
      </c>
      <c r="P17" s="22" t="s">
        <v>205</v>
      </c>
    </row>
    <row r="18" spans="5:17" x14ac:dyDescent="0.25">
      <c r="J18" s="22" t="s">
        <v>207</v>
      </c>
      <c r="K18" s="123">
        <f>-PMT($K$16/12,360,90%*K$17)</f>
        <v>660.38811649143861</v>
      </c>
      <c r="L18" s="124">
        <f>K18*12</f>
        <v>7924.6573978972629</v>
      </c>
      <c r="M18" s="123">
        <f>-PMT($K$16/12,360,90%*M$17)</f>
        <v>990.58217473715786</v>
      </c>
      <c r="N18" s="123">
        <f>-PMT($K$16/12,360,90%*N$17)</f>
        <v>1320.7762329828772</v>
      </c>
      <c r="O18" s="123">
        <f>-PMT($K$16/12,360,90%*O$17)</f>
        <v>1650.9702912285964</v>
      </c>
      <c r="P18" s="124">
        <f t="shared" ref="P18:P19" si="2">12*(N18-K18)</f>
        <v>7924.6573978972629</v>
      </c>
      <c r="Q18" s="125">
        <f>P18/100000</f>
        <v>7.9246573978972626E-2</v>
      </c>
    </row>
    <row r="19" spans="5:17" x14ac:dyDescent="0.25">
      <c r="J19" s="22" t="s">
        <v>209</v>
      </c>
      <c r="K19" s="123">
        <f>-PMT($K$16/12,360,80%*K$17)</f>
        <v>587.01165910350096</v>
      </c>
      <c r="L19" s="124">
        <f>K19*12</f>
        <v>7044.1399092420115</v>
      </c>
      <c r="M19" s="123">
        <f t="shared" ref="M19:O19" si="3">-PMT($K$16/12,360,80%*M$17)</f>
        <v>880.51748865525144</v>
      </c>
      <c r="N19" s="123">
        <f t="shared" si="3"/>
        <v>1174.0233182070019</v>
      </c>
      <c r="O19" s="123">
        <f t="shared" si="3"/>
        <v>1467.5291477587523</v>
      </c>
      <c r="P19" s="124">
        <f t="shared" si="2"/>
        <v>7044.1399092420115</v>
      </c>
      <c r="Q19" s="125">
        <f>P19/100000</f>
        <v>7.0441399092420115E-2</v>
      </c>
    </row>
    <row r="20" spans="5:17" x14ac:dyDescent="0.25">
      <c r="G20" s="22" t="s">
        <v>127</v>
      </c>
      <c r="H20" s="125">
        <v>8.6999999999999994E-2</v>
      </c>
    </row>
    <row r="21" spans="5:17" x14ac:dyDescent="0.25">
      <c r="F21" s="118">
        <v>2023</v>
      </c>
      <c r="G21" s="118"/>
      <c r="H21" s="118">
        <v>2024</v>
      </c>
    </row>
    <row r="22" spans="5:17" x14ac:dyDescent="0.25">
      <c r="E22" s="22" t="s">
        <v>213</v>
      </c>
      <c r="F22" s="23">
        <v>41000</v>
      </c>
      <c r="H22" s="23">
        <f>(1+H20)*F22</f>
        <v>44567</v>
      </c>
    </row>
    <row r="23" spans="5:17" x14ac:dyDescent="0.25">
      <c r="E23" s="22" t="s">
        <v>214</v>
      </c>
      <c r="F23" s="23">
        <f>F22*90%</f>
        <v>36900</v>
      </c>
      <c r="H23" s="23">
        <f>H22*90%</f>
        <v>40110.300000000003</v>
      </c>
    </row>
    <row r="24" spans="5:17" x14ac:dyDescent="0.25">
      <c r="F24" s="23"/>
      <c r="H24" s="23"/>
    </row>
    <row r="25" spans="5:17" x14ac:dyDescent="0.25">
      <c r="E25" s="22" t="s">
        <v>215</v>
      </c>
      <c r="F25" s="23">
        <v>10000</v>
      </c>
      <c r="H25" s="23">
        <f>F25</f>
        <v>10000</v>
      </c>
    </row>
    <row r="26" spans="5:17" x14ac:dyDescent="0.25">
      <c r="E26" s="22" t="s">
        <v>216</v>
      </c>
      <c r="F26" s="127">
        <v>6000</v>
      </c>
      <c r="H26" s="127">
        <f>(1+H20)*F26</f>
        <v>6522</v>
      </c>
    </row>
    <row r="27" spans="5:17" x14ac:dyDescent="0.25">
      <c r="F27" s="23">
        <f>SUM(F25:F26)</f>
        <v>16000</v>
      </c>
      <c r="H27" s="23">
        <f>SUM(H25:H26)</f>
        <v>16522</v>
      </c>
    </row>
    <row r="28" spans="5:17" x14ac:dyDescent="0.25">
      <c r="H28" s="23"/>
    </row>
    <row r="29" spans="5:17" x14ac:dyDescent="0.25">
      <c r="E29" s="22" t="s">
        <v>217</v>
      </c>
      <c r="F29" s="23">
        <f>F22+F27</f>
        <v>57000</v>
      </c>
      <c r="H29" s="23">
        <f>H22+H27</f>
        <v>61089</v>
      </c>
      <c r="I29" s="121">
        <f>(H29-F29)/F29</f>
        <v>7.1736842105263154E-2</v>
      </c>
    </row>
    <row r="30" spans="5:17" x14ac:dyDescent="0.25">
      <c r="E30" s="22" t="s">
        <v>218</v>
      </c>
      <c r="F30" s="23">
        <f>F23+F27</f>
        <v>52900</v>
      </c>
      <c r="H30" s="23">
        <f>H23+H27</f>
        <v>56632.3</v>
      </c>
      <c r="I30" s="121">
        <f>(H30-F30)/F30</f>
        <v>7.0553875236294958E-2</v>
      </c>
    </row>
    <row r="31" spans="5:17" x14ac:dyDescent="0.25">
      <c r="K31" s="128">
        <v>0.04</v>
      </c>
      <c r="L31" s="128">
        <v>0.05</v>
      </c>
      <c r="M31" s="128">
        <v>0.06</v>
      </c>
    </row>
    <row r="32" spans="5:17" x14ac:dyDescent="0.25">
      <c r="E32" s="22" t="s">
        <v>219</v>
      </c>
      <c r="F32" s="23">
        <v>57000</v>
      </c>
      <c r="H32" s="23">
        <v>61000</v>
      </c>
      <c r="I32" s="121">
        <f t="shared" ref="I32:I33" si="4">(H32-F32)/F32</f>
        <v>7.0175438596491224E-2</v>
      </c>
      <c r="K32" s="23">
        <f>(1+K$31)*$F32</f>
        <v>59280</v>
      </c>
      <c r="L32" s="23">
        <f t="shared" ref="L32:M33" si="5">(1+L$31)*$F32</f>
        <v>59850</v>
      </c>
      <c r="M32" s="23">
        <f t="shared" si="5"/>
        <v>60420</v>
      </c>
    </row>
    <row r="33" spans="5:13" x14ac:dyDescent="0.25">
      <c r="E33" s="22" t="s">
        <v>220</v>
      </c>
      <c r="F33" s="23">
        <v>53000</v>
      </c>
      <c r="H33" s="23">
        <v>56600</v>
      </c>
      <c r="I33" s="121">
        <f t="shared" si="4"/>
        <v>6.7924528301886791E-2</v>
      </c>
      <c r="K33" s="23">
        <f t="shared" ref="K33" si="6">(1+K$31)*$F33</f>
        <v>55120</v>
      </c>
      <c r="L33" s="23">
        <f t="shared" si="5"/>
        <v>55650</v>
      </c>
      <c r="M33" s="23">
        <f t="shared" si="5"/>
        <v>56180</v>
      </c>
    </row>
  </sheetData>
  <mergeCells count="1">
    <mergeCell ref="F4:N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CONTINUING CALL Compensation</vt:lpstr>
      <vt:lpstr>Benefits &amp; Expenses</vt:lpstr>
      <vt:lpstr>Printable Summary</vt:lpstr>
      <vt:lpstr>Printable Summary - Shared Call</vt:lpstr>
      <vt:lpstr>Change Log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Mitch Phillips</dc:creator>
  <cp:lastModifiedBy>Mitch Phillips</cp:lastModifiedBy>
  <cp:lastPrinted>2022-03-25T03:27:27Z</cp:lastPrinted>
  <dcterms:created xsi:type="dcterms:W3CDTF">2022-01-16T21:15:39Z</dcterms:created>
  <dcterms:modified xsi:type="dcterms:W3CDTF">2023-06-23T19:23:37Z</dcterms:modified>
</cp:coreProperties>
</file>