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16397DE4-FB63-4DBC-86D6-BD6F6747F295}" xr6:coauthVersionLast="36" xr6:coauthVersionMax="36" xr10:uidLastSave="{00000000-0000-0000-0000-000000000000}"/>
  <bookViews>
    <workbookView xWindow="0" yWindow="0" windowWidth="19200" windowHeight="6350" xr2:uid="{00000000-000D-0000-FFFF-FFFF00000000}"/>
  </bookViews>
  <sheets>
    <sheet name="Laboratory Inputs" sheetId="5" r:id="rId1"/>
    <sheet name="Crime Rates by State" sheetId="7" r:id="rId2"/>
    <sheet name="Sheet1" sheetId="6" state="hidden" r:id="rId3"/>
    <sheet name="Workforce Calc Beta" sheetId="1"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 i="1" l="1"/>
  <c r="H23" i="1"/>
  <c r="H25" i="1"/>
  <c r="H26" i="1"/>
  <c r="H27" i="1"/>
  <c r="H28" i="1"/>
  <c r="H29" i="1"/>
  <c r="H30" i="1"/>
  <c r="H31" i="1"/>
  <c r="H32" i="1"/>
  <c r="H33" i="1"/>
  <c r="H34" i="1"/>
  <c r="H35" i="1"/>
  <c r="H36" i="1"/>
  <c r="H37" i="1"/>
  <c r="H38" i="1"/>
  <c r="H21" i="1"/>
  <c r="D49" i="1" l="1"/>
  <c r="C49" i="1"/>
  <c r="E49" i="1" l="1"/>
  <c r="N49" i="1" s="1"/>
  <c r="O49" i="1" s="1"/>
  <c r="P49" i="1" l="1"/>
  <c r="Q23" i="1"/>
  <c r="C16" i="5" s="1"/>
  <c r="C45" i="1"/>
  <c r="D45" i="1"/>
  <c r="E45" i="1" s="1"/>
  <c r="N45" i="1" l="1"/>
  <c r="O45" i="1" s="1"/>
  <c r="P45" i="1" l="1"/>
  <c r="Q24" i="1" s="1"/>
  <c r="C17" i="5" s="1"/>
  <c r="C22" i="1"/>
  <c r="C23" i="1"/>
  <c r="C24" i="1"/>
  <c r="C25" i="1"/>
  <c r="I25" i="1" s="1"/>
  <c r="C26" i="1"/>
  <c r="I26" i="1" s="1"/>
  <c r="C27" i="1"/>
  <c r="I27" i="1" s="1"/>
  <c r="C28" i="1"/>
  <c r="I28" i="1" s="1"/>
  <c r="C29" i="1"/>
  <c r="I29" i="1" s="1"/>
  <c r="C30" i="1"/>
  <c r="I30" i="1" s="1"/>
  <c r="C31" i="1"/>
  <c r="I31" i="1" s="1"/>
  <c r="C32" i="1"/>
  <c r="I32" i="1" s="1"/>
  <c r="C33" i="1"/>
  <c r="I33" i="1" s="1"/>
  <c r="C34" i="1"/>
  <c r="I34" i="1" s="1"/>
  <c r="C35" i="1"/>
  <c r="I35" i="1" s="1"/>
  <c r="C36" i="1"/>
  <c r="I36" i="1" s="1"/>
  <c r="C37" i="1"/>
  <c r="I37" i="1" s="1"/>
  <c r="C38" i="1"/>
  <c r="I38" i="1" s="1"/>
  <c r="C21" i="1"/>
  <c r="I21" i="1" s="1"/>
  <c r="I24" i="1" l="1"/>
  <c r="H24" i="1"/>
  <c r="D23" i="1"/>
  <c r="I23" i="1"/>
  <c r="F22" i="1"/>
  <c r="I22" i="1"/>
  <c r="F21" i="1"/>
  <c r="L21" i="1" s="1"/>
  <c r="D21" i="1"/>
  <c r="G37" i="1"/>
  <c r="M37" i="1" s="1"/>
  <c r="F37" i="1"/>
  <c r="L37" i="1" s="1"/>
  <c r="F25" i="1"/>
  <c r="L25" i="1" s="1"/>
  <c r="G25" i="1"/>
  <c r="G36" i="1"/>
  <c r="F36" i="1"/>
  <c r="L36" i="1" s="1"/>
  <c r="G32" i="1"/>
  <c r="M32" i="1" s="1"/>
  <c r="F32" i="1"/>
  <c r="L32" i="1" s="1"/>
  <c r="G28" i="1"/>
  <c r="M28" i="1" s="1"/>
  <c r="F28" i="1"/>
  <c r="E24" i="1"/>
  <c r="F24" i="1"/>
  <c r="J24" i="1" s="1"/>
  <c r="G29" i="1"/>
  <c r="F29" i="1"/>
  <c r="L29" i="1" s="1"/>
  <c r="E35" i="1"/>
  <c r="F35" i="1"/>
  <c r="L35" i="1" s="1"/>
  <c r="G35" i="1"/>
  <c r="M35" i="1" s="1"/>
  <c r="G31" i="1"/>
  <c r="F31" i="1"/>
  <c r="F27" i="1"/>
  <c r="G27" i="1"/>
  <c r="M27" i="1" s="1"/>
  <c r="G33" i="1"/>
  <c r="F33" i="1"/>
  <c r="L33" i="1" s="1"/>
  <c r="G38" i="1"/>
  <c r="M38" i="1" s="1"/>
  <c r="F38" i="1"/>
  <c r="L38" i="1" s="1"/>
  <c r="E34" i="1"/>
  <c r="G34" i="1"/>
  <c r="F34" i="1"/>
  <c r="G30" i="1"/>
  <c r="M30" i="1" s="1"/>
  <c r="F30" i="1"/>
  <c r="L30" i="1" s="1"/>
  <c r="G26" i="1"/>
  <c r="F26" i="1"/>
  <c r="L26" i="1" s="1"/>
  <c r="F23" i="1"/>
  <c r="J23" i="1" s="1"/>
  <c r="E38" i="1"/>
  <c r="K37" i="1"/>
  <c r="E37" i="1"/>
  <c r="D36" i="1"/>
  <c r="E36" i="1"/>
  <c r="D33" i="1"/>
  <c r="E33" i="1"/>
  <c r="D32" i="1"/>
  <c r="E32" i="1"/>
  <c r="E31" i="1"/>
  <c r="E30" i="1"/>
  <c r="D29" i="1"/>
  <c r="E29" i="1"/>
  <c r="E28" i="1"/>
  <c r="E27" i="1"/>
  <c r="D26" i="1"/>
  <c r="E26" i="1"/>
  <c r="J25" i="1"/>
  <c r="E25" i="1"/>
  <c r="E23" i="1"/>
  <c r="E22" i="1"/>
  <c r="E21" i="1"/>
  <c r="K29" i="1"/>
  <c r="D38" i="1"/>
  <c r="J38" i="1"/>
  <c r="D22" i="1"/>
  <c r="J28" i="1"/>
  <c r="D35" i="1"/>
  <c r="J35" i="1"/>
  <c r="K35" i="1"/>
  <c r="J34" i="1"/>
  <c r="J32" i="1"/>
  <c r="J31" i="1"/>
  <c r="D31" i="1"/>
  <c r="K31" i="1"/>
  <c r="D30" i="1"/>
  <c r="K30" i="1"/>
  <c r="D28" i="1"/>
  <c r="D27" i="1"/>
  <c r="D25" i="1"/>
  <c r="K34" i="1"/>
  <c r="K25" i="1"/>
  <c r="J26" i="1"/>
  <c r="D37" i="1"/>
  <c r="D34" i="1"/>
  <c r="G24" i="1"/>
  <c r="K24" i="1" s="1"/>
  <c r="D24" i="1"/>
  <c r="G23" i="1"/>
  <c r="K23" i="1" s="1"/>
  <c r="G22" i="1"/>
  <c r="K22" i="1" s="1"/>
  <c r="L22" i="1"/>
  <c r="J22" i="1"/>
  <c r="G21" i="1"/>
  <c r="L23" i="1" l="1"/>
  <c r="J37" i="1"/>
  <c r="N37" i="1" s="1"/>
  <c r="O37" i="1" s="1"/>
  <c r="P37" i="1" s="1"/>
  <c r="Q37" i="1" s="1"/>
  <c r="C30" i="5" s="1"/>
  <c r="K28" i="1"/>
  <c r="K38" i="1"/>
  <c r="N38" i="1" s="1"/>
  <c r="O38" i="1" s="1"/>
  <c r="P38" i="1" s="1"/>
  <c r="Q38" i="1" s="1"/>
  <c r="C31" i="5" s="1"/>
  <c r="J36" i="1"/>
  <c r="K36" i="1"/>
  <c r="J33" i="1"/>
  <c r="J29" i="1"/>
  <c r="K26" i="1"/>
  <c r="M36" i="1"/>
  <c r="M25" i="1"/>
  <c r="N25" i="1" s="1"/>
  <c r="O25" i="1" s="1"/>
  <c r="P25" i="1" s="1"/>
  <c r="Q25" i="1" s="1"/>
  <c r="C18" i="5" s="1"/>
  <c r="K32" i="1"/>
  <c r="N32" i="1" s="1"/>
  <c r="O32" i="1" s="1"/>
  <c r="P32" i="1" s="1"/>
  <c r="Q32" i="1" s="1"/>
  <c r="C25" i="5" s="1"/>
  <c r="M33" i="1"/>
  <c r="K33" i="1"/>
  <c r="K27" i="1"/>
  <c r="L27" i="1"/>
  <c r="J27" i="1"/>
  <c r="J30" i="1"/>
  <c r="N30" i="1" s="1"/>
  <c r="O30" i="1" s="1"/>
  <c r="P30" i="1" s="1"/>
  <c r="Q30" i="1" s="1"/>
  <c r="C23" i="5" s="1"/>
  <c r="N35" i="1"/>
  <c r="O35" i="1" s="1"/>
  <c r="P35" i="1" s="1"/>
  <c r="Q35" i="1" s="1"/>
  <c r="C28" i="5" s="1"/>
  <c r="M34" i="1"/>
  <c r="L34" i="1"/>
  <c r="M31" i="1"/>
  <c r="L31" i="1"/>
  <c r="M29" i="1"/>
  <c r="L28" i="1"/>
  <c r="M26" i="1"/>
  <c r="M22" i="1"/>
  <c r="N22" i="1" s="1"/>
  <c r="O22" i="1" s="1"/>
  <c r="P22" i="1" s="1"/>
  <c r="Q22" i="1" s="1"/>
  <c r="C15" i="5" s="1"/>
  <c r="M24" i="1"/>
  <c r="L24" i="1"/>
  <c r="M23" i="1"/>
  <c r="K21" i="1"/>
  <c r="M21" i="1"/>
  <c r="J21" i="1"/>
  <c r="N23" i="1" l="1"/>
  <c r="O23" i="1" s="1"/>
  <c r="P23" i="1" s="1"/>
  <c r="N28" i="1"/>
  <c r="O28" i="1" s="1"/>
  <c r="P28" i="1" s="1"/>
  <c r="Q28" i="1" s="1"/>
  <c r="C21" i="5" s="1"/>
  <c r="N26" i="1"/>
  <c r="O26" i="1" s="1"/>
  <c r="P26" i="1" s="1"/>
  <c r="Q26" i="1" s="1"/>
  <c r="C19" i="5" s="1"/>
  <c r="N36" i="1"/>
  <c r="O36" i="1" s="1"/>
  <c r="P36" i="1" s="1"/>
  <c r="Q36" i="1" s="1"/>
  <c r="C29" i="5" s="1"/>
  <c r="N29" i="1"/>
  <c r="O29" i="1" s="1"/>
  <c r="P29" i="1" s="1"/>
  <c r="Q29" i="1" s="1"/>
  <c r="C22" i="5" s="1"/>
  <c r="N34" i="1"/>
  <c r="O34" i="1" s="1"/>
  <c r="P34" i="1" s="1"/>
  <c r="Q34" i="1" s="1"/>
  <c r="C27" i="5" s="1"/>
  <c r="N33" i="1"/>
  <c r="O33" i="1" s="1"/>
  <c r="P33" i="1" s="1"/>
  <c r="Q33" i="1" s="1"/>
  <c r="C26" i="5" s="1"/>
  <c r="N27" i="1"/>
  <c r="O27" i="1" s="1"/>
  <c r="P27" i="1" s="1"/>
  <c r="Q27" i="1" s="1"/>
  <c r="C20" i="5" s="1"/>
  <c r="N21" i="1"/>
  <c r="O21" i="1" s="1"/>
  <c r="P21" i="1" s="1"/>
  <c r="Q21" i="1" s="1"/>
  <c r="C14" i="5" s="1"/>
  <c r="N31" i="1"/>
  <c r="O31" i="1" s="1"/>
  <c r="P31" i="1" s="1"/>
  <c r="Q31" i="1" s="1"/>
  <c r="C24" i="5" s="1"/>
  <c r="N24" i="1"/>
  <c r="O24" i="1" s="1"/>
  <c r="P24" i="1" s="1"/>
  <c r="C32" i="5" l="1"/>
</calcChain>
</file>

<file path=xl/sharedStrings.xml><?xml version="1.0" encoding="utf-8"?>
<sst xmlns="http://schemas.openxmlformats.org/spreadsheetml/2006/main" count="209" uniqueCount="105">
  <si>
    <t>Area of Investigation</t>
  </si>
  <si>
    <t>Intercept</t>
  </si>
  <si>
    <t>LN(Case)</t>
  </si>
  <si>
    <t>pop</t>
  </si>
  <si>
    <t>crv</t>
  </si>
  <si>
    <t>crp</t>
  </si>
  <si>
    <t>State</t>
  </si>
  <si>
    <t>Metro</t>
  </si>
  <si>
    <t>State x crv</t>
  </si>
  <si>
    <t>State x crp</t>
  </si>
  <si>
    <t>Metro x crv</t>
  </si>
  <si>
    <t>Metro x crp</t>
  </si>
  <si>
    <t>Blood/Breath Alcohol</t>
  </si>
  <si>
    <t>Crime Scene Investigation</t>
  </si>
  <si>
    <t>Digital</t>
  </si>
  <si>
    <t>DNA Casework</t>
  </si>
  <si>
    <t>DNA Database</t>
  </si>
  <si>
    <t>Document Examination</t>
  </si>
  <si>
    <t>Drugs--Controlled Substances</t>
  </si>
  <si>
    <t>Evidence Handling/Processing</t>
  </si>
  <si>
    <t>Explosives</t>
  </si>
  <si>
    <t>Fingerprint Identification</t>
  </si>
  <si>
    <t>Fire Analysis</t>
  </si>
  <si>
    <t>Firearms &amp; Ballistics</t>
  </si>
  <si>
    <t>Gun Shot Residue</t>
  </si>
  <si>
    <t>Marks &amp; Impressions</t>
  </si>
  <si>
    <t>Serology/Biology</t>
  </si>
  <si>
    <t>Toxicology ante mortem</t>
  </si>
  <si>
    <t>Toxicology post mortem</t>
  </si>
  <si>
    <t>Trace Evidence</t>
  </si>
  <si>
    <t> Alabama</t>
  </si>
  <si>
    <t> Alaska</t>
  </si>
  <si>
    <t> Arizona</t>
  </si>
  <si>
    <t> Arkansas</t>
  </si>
  <si>
    <t> California</t>
  </si>
  <si>
    <t> Colorado</t>
  </si>
  <si>
    <t> Connecticut</t>
  </si>
  <si>
    <t> Delaware</t>
  </si>
  <si>
    <t xml:space="preserve"> D.C.</t>
  </si>
  <si>
    <t> Florida</t>
  </si>
  <si>
    <t> Georgia</t>
  </si>
  <si>
    <t> Hawaii</t>
  </si>
  <si>
    <t> Idaho</t>
  </si>
  <si>
    <t> Illinois</t>
  </si>
  <si>
    <t> Indiana</t>
  </si>
  <si>
    <t> Iowa</t>
  </si>
  <si>
    <t> Kansas</t>
  </si>
  <si>
    <t> Kentucky</t>
  </si>
  <si>
    <t> Louisiana</t>
  </si>
  <si>
    <t> Maine</t>
  </si>
  <si>
    <t> Maryland</t>
  </si>
  <si>
    <t> Massachusetts</t>
  </si>
  <si>
    <t> Michigan</t>
  </si>
  <si>
    <t> Minnesota</t>
  </si>
  <si>
    <t> Mississippi</t>
  </si>
  <si>
    <t> Missouri</t>
  </si>
  <si>
    <t> Montana</t>
  </si>
  <si>
    <t> Nebraska</t>
  </si>
  <si>
    <t> Nevada</t>
  </si>
  <si>
    <t> New Hampshire</t>
  </si>
  <si>
    <t> New Jersey</t>
  </si>
  <si>
    <t> New Mexico</t>
  </si>
  <si>
    <t> New York</t>
  </si>
  <si>
    <t> North Carolina</t>
  </si>
  <si>
    <t> North Dakota</t>
  </si>
  <si>
    <t> Ohio</t>
  </si>
  <si>
    <t> Oklahoma</t>
  </si>
  <si>
    <t> Oregon</t>
  </si>
  <si>
    <t> Pennsylvania</t>
  </si>
  <si>
    <t> Rhode Island</t>
  </si>
  <si>
    <t> South Carolina</t>
  </si>
  <si>
    <t> South Dakota</t>
  </si>
  <si>
    <t> Tennessee</t>
  </si>
  <si>
    <t> Texas</t>
  </si>
  <si>
    <t> Utah</t>
  </si>
  <si>
    <t> Vermont</t>
  </si>
  <si>
    <t> Virginia</t>
  </si>
  <si>
    <t> Washington</t>
  </si>
  <si>
    <t> West Virginia</t>
  </si>
  <si>
    <t> Wisconsin</t>
  </si>
  <si>
    <t> Wyoming</t>
  </si>
  <si>
    <t>Jurisdiction: state, metro, or regional</t>
  </si>
  <si>
    <t>(note: if a regional lab has a city with a population above 100,000, then select metro)</t>
  </si>
  <si>
    <t>regional</t>
  </si>
  <si>
    <t>Population served</t>
  </si>
  <si>
    <t>State crime rate (violent)</t>
  </si>
  <si>
    <t>state</t>
  </si>
  <si>
    <t>metro</t>
  </si>
  <si>
    <t>State crime rate (property)</t>
  </si>
  <si>
    <t>Caseload</t>
  </si>
  <si>
    <t>FTE</t>
  </si>
  <si>
    <t>SUMPROD</t>
  </si>
  <si>
    <t>EXP</t>
  </si>
  <si>
    <t>TOTAL Laboratory Personnel</t>
  </si>
  <si>
    <t>DNA Casework alternative</t>
  </si>
  <si>
    <t>Cases</t>
  </si>
  <si>
    <r>
      <t>Cases</t>
    </r>
    <r>
      <rPr>
        <b/>
        <vertAlign val="superscript"/>
        <sz val="11"/>
        <color theme="1"/>
        <rFont val="Calibri"/>
        <family val="2"/>
        <scheme val="minor"/>
      </rPr>
      <t>2</t>
    </r>
  </si>
  <si>
    <t>Above 5000, then 140 Cases/FTE</t>
  </si>
  <si>
    <t>Digital alternative</t>
  </si>
  <si>
    <t>Above 750, "unknown--out of range"</t>
  </si>
  <si>
    <t>FTE limits</t>
  </si>
  <si>
    <r>
      <t>CR</t>
    </r>
    <r>
      <rPr>
        <b/>
        <vertAlign val="subscript"/>
        <sz val="11"/>
        <color theme="1"/>
        <rFont val="Calibri"/>
        <family val="2"/>
        <scheme val="minor"/>
      </rPr>
      <t>violent</t>
    </r>
  </si>
  <si>
    <r>
      <t>CR</t>
    </r>
    <r>
      <rPr>
        <b/>
        <vertAlign val="subscript"/>
        <sz val="11"/>
        <color theme="1"/>
        <rFont val="Calibri"/>
        <family val="2"/>
        <scheme val="minor"/>
      </rPr>
      <t>property</t>
    </r>
  </si>
  <si>
    <t>Population</t>
  </si>
  <si>
    <t>Answer each of the following to estimate your workforce needs. Use the up and down arrows to select jurisdiction type, state of operation, and state crime rates (note that the worksheet "Crime Rates by State" has the most recent data for your state). Enter the population served by your laboratory in numeric format only. For the anticipated caseload in each area of investigation, enter the number of cases for one year (leave blank if you are not supporting a particular area of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</si>
</sst>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name val="MS Sans Serif"/>
    </font>
    <font>
      <sz val="10"/>
      <name val="Arial"/>
      <family val="2"/>
    </font>
    <font>
      <b/>
      <sz val="12"/>
      <name val="Calibri"/>
      <family val="2"/>
      <scheme val="minor"/>
    </font>
    <font>
      <b/>
      <vertAlign val="superscript"/>
      <sz val="11"/>
      <color theme="1"/>
      <name val="Calibri"/>
      <family val="2"/>
      <scheme val="minor"/>
    </font>
    <font>
      <sz val="12"/>
      <color theme="1"/>
      <name val="Calibri"/>
      <family val="2"/>
      <scheme val="minor"/>
    </font>
    <font>
      <sz val="14"/>
      <color theme="1"/>
      <name val="Calibri"/>
      <family val="2"/>
      <scheme val="minor"/>
    </font>
    <font>
      <b/>
      <vertAlign val="subscript"/>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3" fillId="0" borderId="0"/>
  </cellStyleXfs>
  <cellXfs count="36">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Fill="1" applyBorder="1" applyAlignment="1">
      <alignment horizontal="center"/>
    </xf>
    <xf numFmtId="3" fontId="0" fillId="0" borderId="0" xfId="0" applyNumberFormat="1" applyAlignment="1">
      <alignment horizontal="center"/>
    </xf>
    <xf numFmtId="0" fontId="1" fillId="0" borderId="0" xfId="0" applyFont="1"/>
    <xf numFmtId="2" fontId="0" fillId="0" borderId="0" xfId="0" applyNumberFormat="1" applyAlignment="1">
      <alignment horizontal="center"/>
    </xf>
    <xf numFmtId="4" fontId="0" fillId="0" borderId="0" xfId="0" applyNumberFormat="1" applyAlignment="1">
      <alignment horizontal="center"/>
    </xf>
    <xf numFmtId="0" fontId="0" fillId="0" borderId="0" xfId="0" applyAlignment="1">
      <alignment horizontal="left"/>
    </xf>
    <xf numFmtId="0" fontId="7" fillId="0" borderId="0" xfId="0" applyFont="1"/>
    <xf numFmtId="0" fontId="0" fillId="3" borderId="0" xfId="0" applyFill="1"/>
    <xf numFmtId="0" fontId="0" fillId="3" borderId="0" xfId="0" applyFill="1" applyAlignment="1">
      <alignment horizontal="center"/>
    </xf>
    <xf numFmtId="0" fontId="4" fillId="3" borderId="0" xfId="0" applyFont="1" applyFill="1" applyAlignment="1" applyProtection="1">
      <alignment horizontal="left" vertical="center"/>
      <protection hidden="1"/>
    </xf>
    <xf numFmtId="0" fontId="1" fillId="3" borderId="0" xfId="0" applyFont="1" applyFill="1"/>
    <xf numFmtId="0" fontId="0" fillId="3" borderId="0" xfId="0" applyFill="1" applyAlignment="1">
      <alignment wrapText="1"/>
    </xf>
    <xf numFmtId="0" fontId="0" fillId="3" borderId="0" xfId="0" applyFill="1" applyAlignment="1">
      <alignment horizontal="left" vertical="center"/>
    </xf>
    <xf numFmtId="3" fontId="0" fillId="3" borderId="0" xfId="0" applyNumberFormat="1" applyFill="1" applyAlignment="1">
      <alignment horizontal="center"/>
    </xf>
    <xf numFmtId="0" fontId="1" fillId="3" borderId="0" xfId="0" applyFont="1" applyFill="1" applyAlignment="1">
      <alignment horizontal="center"/>
    </xf>
    <xf numFmtId="0" fontId="1" fillId="3" borderId="0" xfId="0" applyFont="1" applyFill="1" applyAlignment="1">
      <alignment horizontal="right"/>
    </xf>
    <xf numFmtId="0" fontId="0" fillId="3" borderId="1" xfId="0" applyFont="1" applyFill="1" applyBorder="1" applyAlignment="1" applyProtection="1">
      <alignment horizontal="center"/>
      <protection locked="0"/>
    </xf>
    <xf numFmtId="0" fontId="0" fillId="3" borderId="0" xfId="0" applyFont="1" applyFill="1"/>
    <xf numFmtId="0" fontId="0" fillId="3" borderId="0" xfId="0" applyFont="1" applyFill="1" applyAlignment="1">
      <alignment horizontal="center"/>
    </xf>
    <xf numFmtId="3" fontId="0" fillId="3" borderId="1" xfId="0" applyNumberFormat="1" applyFont="1" applyFill="1" applyBorder="1" applyAlignment="1" applyProtection="1">
      <alignment horizontal="center" vertical="center"/>
      <protection locked="0"/>
    </xf>
    <xf numFmtId="3" fontId="0" fillId="3" borderId="0" xfId="0" applyNumberFormat="1" applyFont="1" applyFill="1"/>
    <xf numFmtId="3" fontId="0" fillId="2" borderId="1" xfId="0" applyNumberFormat="1" applyFont="1" applyFill="1" applyBorder="1" applyAlignment="1" applyProtection="1">
      <alignment horizontal="center"/>
      <protection locked="0"/>
    </xf>
    <xf numFmtId="4" fontId="0" fillId="3" borderId="1" xfId="0" applyNumberFormat="1" applyFont="1" applyFill="1" applyBorder="1" applyAlignment="1" applyProtection="1">
      <alignment horizontal="center"/>
      <protection hidden="1"/>
    </xf>
    <xf numFmtId="4" fontId="0" fillId="3" borderId="0" xfId="0" applyNumberFormat="1" applyFont="1" applyFill="1" applyAlignment="1">
      <alignment horizontal="center"/>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wrapText="1"/>
    </xf>
    <xf numFmtId="0" fontId="6" fillId="3" borderId="5" xfId="0" applyFont="1" applyFill="1" applyBorder="1" applyAlignment="1">
      <alignment vertical="top" wrapText="1"/>
    </xf>
    <xf numFmtId="0" fontId="6" fillId="3" borderId="0" xfId="0" applyFont="1" applyFill="1" applyBorder="1" applyAlignment="1">
      <alignment vertical="top" wrapText="1"/>
    </xf>
    <xf numFmtId="0" fontId="6" fillId="3" borderId="6" xfId="0" applyFont="1" applyFill="1" applyBorder="1" applyAlignment="1">
      <alignmen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pin" dx="22" fmlaLink="$B$9" inc="5" max="1200" page="10" val="320"/>
</file>

<file path=xl/ctrlProps/ctrlProp2.xml><?xml version="1.0" encoding="utf-8"?>
<formControlPr xmlns="http://schemas.microsoft.com/office/spreadsheetml/2009/9/main" objectType="Spin" dx="22" fmlaLink="$B$11" inc="25" max="10000" page="10" val="2825"/>
</file>

<file path=xl/ctrlProps/ctrlProp3.xml><?xml version="1.0" encoding="utf-8"?>
<formControlPr xmlns="http://schemas.microsoft.com/office/spreadsheetml/2009/9/main" objectType="Drop" dropStyle="combo" dx="16" fmlaLink="$B$5" fmlaRange="'Crime Rates by State'!$F$1:$F$4" noThreeD="1" sel="1" val="0"/>
</file>

<file path=xl/ctrlProps/ctrlProp4.xml><?xml version="1.0" encoding="utf-8"?>
<formControlPr xmlns="http://schemas.microsoft.com/office/spreadsheetml/2009/9/main" objectType="Drop" dropStyle="combo" dx="16" fmlaLink="$B$7" fmlaRange="'Crime Rates by State'!$A$1:$A$52"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8</xdr:row>
          <xdr:rowOff>0</xdr:rowOff>
        </xdr:from>
        <xdr:to>
          <xdr:col>2</xdr:col>
          <xdr:colOff>361950</xdr:colOff>
          <xdr:row>9</xdr:row>
          <xdr:rowOff>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12700</xdr:colOff>
          <xdr:row>9</xdr:row>
          <xdr:rowOff>190500</xdr:rowOff>
        </xdr:from>
        <xdr:to>
          <xdr:col>2</xdr:col>
          <xdr:colOff>374650</xdr:colOff>
          <xdr:row>10</xdr:row>
          <xdr:rowOff>400050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317500</xdr:colOff>
          <xdr:row>5</xdr:row>
          <xdr:rowOff>12700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4470400</xdr:colOff>
          <xdr:row>5</xdr:row>
          <xdr:rowOff>381000</xdr:rowOff>
        </xdr:from>
        <xdr:to>
          <xdr:col>2</xdr:col>
          <xdr:colOff>336550</xdr:colOff>
          <xdr:row>7</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2"/>
  <sheetViews>
    <sheetView tabSelected="1" zoomScaleNormal="100" workbookViewId="0">
      <selection activeCell="B12" sqref="B12"/>
    </sheetView>
  </sheetViews>
  <sheetFormatPr defaultColWidth="9.1796875" defaultRowHeight="14.5" x14ac:dyDescent="0.35"/>
  <cols>
    <col min="1" max="1" width="67.1796875" style="10" customWidth="1"/>
    <col min="2" max="2" width="25" style="20" customWidth="1"/>
    <col min="3" max="3" width="29.1796875" style="20" customWidth="1"/>
    <col min="4" max="54" width="14.453125" style="10" customWidth="1"/>
    <col min="55" max="79" width="19.54296875" style="10" customWidth="1"/>
    <col min="80" max="16384" width="9.1796875" style="10"/>
  </cols>
  <sheetData>
    <row r="1" spans="1:54" ht="18" customHeight="1" x14ac:dyDescent="0.35">
      <c r="A1" s="27" t="s">
        <v>104</v>
      </c>
      <c r="B1" s="28"/>
      <c r="C1" s="29"/>
    </row>
    <row r="2" spans="1:54" ht="18" customHeight="1" x14ac:dyDescent="0.35">
      <c r="A2" s="30"/>
      <c r="B2" s="31"/>
      <c r="C2" s="32"/>
    </row>
    <row r="3" spans="1:54" ht="18" customHeight="1" x14ac:dyDescent="0.35">
      <c r="A3" s="30"/>
      <c r="B3" s="31"/>
      <c r="C3" s="32"/>
    </row>
    <row r="4" spans="1:54" ht="18" customHeight="1" thickBot="1" x14ac:dyDescent="0.4">
      <c r="A4" s="33"/>
      <c r="B4" s="34"/>
      <c r="C4" s="35"/>
    </row>
    <row r="5" spans="1:54" ht="27" customHeight="1" thickBot="1" x14ac:dyDescent="0.4">
      <c r="A5" s="12" t="s">
        <v>81</v>
      </c>
      <c r="B5" s="19">
        <v>1</v>
      </c>
      <c r="D5" s="13"/>
      <c r="E5" s="13"/>
      <c r="F5" s="13"/>
    </row>
    <row r="6" spans="1:54" ht="29.5" thickBot="1" x14ac:dyDescent="0.4">
      <c r="A6" s="14" t="s">
        <v>82</v>
      </c>
    </row>
    <row r="7" spans="1:54" ht="25.5" customHeight="1" thickBot="1" x14ac:dyDescent="0.4">
      <c r="A7" s="10" t="s">
        <v>6</v>
      </c>
      <c r="B7" s="19">
        <v>1</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1:54" ht="15" thickBot="1" x14ac:dyDescent="0.4">
      <c r="B8" s="21"/>
    </row>
    <row r="9" spans="1:54" ht="32.25" customHeight="1" thickBot="1" x14ac:dyDescent="0.4">
      <c r="A9" s="15" t="s">
        <v>85</v>
      </c>
      <c r="B9" s="22">
        <v>320</v>
      </c>
      <c r="C9" s="23"/>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row>
    <row r="10" spans="1:54" ht="15" thickBot="1" x14ac:dyDescent="0.4">
      <c r="B10" s="21"/>
    </row>
    <row r="11" spans="1:54" ht="32.25" customHeight="1" thickBot="1" x14ac:dyDescent="0.4">
      <c r="A11" s="15" t="s">
        <v>88</v>
      </c>
      <c r="B11" s="22">
        <v>2825</v>
      </c>
      <c r="C11" s="23"/>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1.5" customHeight="1" thickBot="1" x14ac:dyDescent="0.4">
      <c r="A12" s="10" t="s">
        <v>84</v>
      </c>
      <c r="B12" s="2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ht="15" thickBot="1" x14ac:dyDescent="0.4">
      <c r="A13" s="17" t="s">
        <v>0</v>
      </c>
      <c r="B13" s="17" t="s">
        <v>89</v>
      </c>
      <c r="C13" s="17" t="s">
        <v>90</v>
      </c>
    </row>
    <row r="14" spans="1:54" ht="15" thickBot="1" x14ac:dyDescent="0.4">
      <c r="A14" s="10" t="s">
        <v>12</v>
      </c>
      <c r="B14" s="24"/>
      <c r="C14" s="25" t="str">
        <f>'Workforce Calc Beta'!Q21</f>
        <v>na</v>
      </c>
    </row>
    <row r="15" spans="1:54" ht="15" thickBot="1" x14ac:dyDescent="0.4">
      <c r="A15" s="10" t="s">
        <v>13</v>
      </c>
      <c r="B15" s="24"/>
      <c r="C15" s="25" t="str">
        <f>'Workforce Calc Beta'!Q22</f>
        <v>na</v>
      </c>
    </row>
    <row r="16" spans="1:54" ht="15" thickBot="1" x14ac:dyDescent="0.4">
      <c r="A16" s="10" t="s">
        <v>14</v>
      </c>
      <c r="B16" s="24"/>
      <c r="C16" s="25" t="str">
        <f>'Workforce Calc Beta'!Q23</f>
        <v>na</v>
      </c>
    </row>
    <row r="17" spans="1:3" ht="15" thickBot="1" x14ac:dyDescent="0.4">
      <c r="A17" s="10" t="s">
        <v>15</v>
      </c>
      <c r="B17" s="24"/>
      <c r="C17" s="25" t="str">
        <f>'Workforce Calc Beta'!Q24</f>
        <v>na</v>
      </c>
    </row>
    <row r="18" spans="1:3" ht="15" thickBot="1" x14ac:dyDescent="0.4">
      <c r="A18" s="10" t="s">
        <v>16</v>
      </c>
      <c r="B18" s="24"/>
      <c r="C18" s="25" t="str">
        <f>'Workforce Calc Beta'!Q25</f>
        <v>na</v>
      </c>
    </row>
    <row r="19" spans="1:3" ht="15" thickBot="1" x14ac:dyDescent="0.4">
      <c r="A19" s="10" t="s">
        <v>17</v>
      </c>
      <c r="B19" s="24"/>
      <c r="C19" s="25" t="str">
        <f>'Workforce Calc Beta'!Q26</f>
        <v>na</v>
      </c>
    </row>
    <row r="20" spans="1:3" ht="15" thickBot="1" x14ac:dyDescent="0.4">
      <c r="A20" s="10" t="s">
        <v>18</v>
      </c>
      <c r="B20" s="24"/>
      <c r="C20" s="25" t="str">
        <f>'Workforce Calc Beta'!Q27</f>
        <v>na</v>
      </c>
    </row>
    <row r="21" spans="1:3" ht="15" thickBot="1" x14ac:dyDescent="0.4">
      <c r="A21" s="10" t="s">
        <v>19</v>
      </c>
      <c r="B21" s="24"/>
      <c r="C21" s="25" t="str">
        <f>'Workforce Calc Beta'!Q28</f>
        <v>na</v>
      </c>
    </row>
    <row r="22" spans="1:3" ht="15" thickBot="1" x14ac:dyDescent="0.4">
      <c r="A22" s="10" t="s">
        <v>20</v>
      </c>
      <c r="B22" s="24"/>
      <c r="C22" s="25" t="str">
        <f>'Workforce Calc Beta'!Q29</f>
        <v>na</v>
      </c>
    </row>
    <row r="23" spans="1:3" ht="15" thickBot="1" x14ac:dyDescent="0.4">
      <c r="A23" s="10" t="s">
        <v>21</v>
      </c>
      <c r="B23" s="24"/>
      <c r="C23" s="25" t="str">
        <f>'Workforce Calc Beta'!Q30</f>
        <v>na</v>
      </c>
    </row>
    <row r="24" spans="1:3" ht="15" thickBot="1" x14ac:dyDescent="0.4">
      <c r="A24" s="10" t="s">
        <v>22</v>
      </c>
      <c r="B24" s="24"/>
      <c r="C24" s="25" t="str">
        <f>'Workforce Calc Beta'!Q31</f>
        <v>na</v>
      </c>
    </row>
    <row r="25" spans="1:3" ht="15" thickBot="1" x14ac:dyDescent="0.4">
      <c r="A25" s="10" t="s">
        <v>23</v>
      </c>
      <c r="B25" s="24"/>
      <c r="C25" s="25" t="str">
        <f>'Workforce Calc Beta'!Q32</f>
        <v>na</v>
      </c>
    </row>
    <row r="26" spans="1:3" ht="15" thickBot="1" x14ac:dyDescent="0.4">
      <c r="A26" s="10" t="s">
        <v>24</v>
      </c>
      <c r="B26" s="24"/>
      <c r="C26" s="25" t="str">
        <f>'Workforce Calc Beta'!Q33</f>
        <v>na</v>
      </c>
    </row>
    <row r="27" spans="1:3" ht="15" thickBot="1" x14ac:dyDescent="0.4">
      <c r="A27" s="10" t="s">
        <v>25</v>
      </c>
      <c r="B27" s="24"/>
      <c r="C27" s="25" t="str">
        <f>'Workforce Calc Beta'!Q34</f>
        <v>na</v>
      </c>
    </row>
    <row r="28" spans="1:3" ht="15" thickBot="1" x14ac:dyDescent="0.4">
      <c r="A28" s="10" t="s">
        <v>26</v>
      </c>
      <c r="B28" s="24"/>
      <c r="C28" s="25" t="str">
        <f>'Workforce Calc Beta'!Q35</f>
        <v>na</v>
      </c>
    </row>
    <row r="29" spans="1:3" ht="15" thickBot="1" x14ac:dyDescent="0.4">
      <c r="A29" s="10" t="s">
        <v>27</v>
      </c>
      <c r="B29" s="24"/>
      <c r="C29" s="25" t="str">
        <f>'Workforce Calc Beta'!Q36</f>
        <v>na</v>
      </c>
    </row>
    <row r="30" spans="1:3" ht="15" thickBot="1" x14ac:dyDescent="0.4">
      <c r="A30" s="10" t="s">
        <v>28</v>
      </c>
      <c r="B30" s="24"/>
      <c r="C30" s="25" t="str">
        <f>'Workforce Calc Beta'!Q37</f>
        <v>na</v>
      </c>
    </row>
    <row r="31" spans="1:3" ht="15" thickBot="1" x14ac:dyDescent="0.4">
      <c r="A31" s="10" t="s">
        <v>29</v>
      </c>
      <c r="B31" s="24"/>
      <c r="C31" s="25" t="str">
        <f>'Workforce Calc Beta'!Q38</f>
        <v>na</v>
      </c>
    </row>
    <row r="32" spans="1:3" x14ac:dyDescent="0.35">
      <c r="A32" s="18" t="s">
        <v>93</v>
      </c>
      <c r="C32" s="26">
        <f>SUM(C14:C31)</f>
        <v>0</v>
      </c>
    </row>
  </sheetData>
  <sheetProtection algorithmName="SHA-512" hashValue="oUZSw4k4Vcixx4Ujj97RqFyAxBuZpsTdPsd8vC4NfuDClVQR5sKgiCwg9o2MChfwBMEf3CXEUMNhH6/AdAndRQ==" saltValue="QC8bllZxpMrw3sM2K07/PQ==" spinCount="100000" sheet="1" objects="1" scenarios="1"/>
  <mergeCells count="1">
    <mergeCell ref="A1:C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2</xdr:col>
                    <xdr:colOff>0</xdr:colOff>
                    <xdr:row>8</xdr:row>
                    <xdr:rowOff>0</xdr:rowOff>
                  </from>
                  <to>
                    <xdr:col>2</xdr:col>
                    <xdr:colOff>361950</xdr:colOff>
                    <xdr:row>9</xdr:row>
                    <xdr:rowOff>0</xdr:rowOff>
                  </to>
                </anchor>
              </controlPr>
            </control>
          </mc:Choice>
        </mc:AlternateContent>
        <mc:AlternateContent xmlns:mc="http://schemas.openxmlformats.org/markup-compatibility/2006">
          <mc:Choice Requires="x14">
            <control shapeId="1027" r:id="rId5" name="Spinner 3">
              <controlPr defaultSize="0" autoPict="0">
                <anchor moveWithCells="1" sizeWithCells="1">
                  <from>
                    <xdr:col>2</xdr:col>
                    <xdr:colOff>12700</xdr:colOff>
                    <xdr:row>9</xdr:row>
                    <xdr:rowOff>190500</xdr:rowOff>
                  </from>
                  <to>
                    <xdr:col>2</xdr:col>
                    <xdr:colOff>374650</xdr:colOff>
                    <xdr:row>10</xdr:row>
                    <xdr:rowOff>400050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1</xdr:col>
                    <xdr:colOff>0</xdr:colOff>
                    <xdr:row>4</xdr:row>
                    <xdr:rowOff>0</xdr:rowOff>
                  </from>
                  <to>
                    <xdr:col>2</xdr:col>
                    <xdr:colOff>317500</xdr:colOff>
                    <xdr:row>5</xdr:row>
                    <xdr:rowOff>12700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0</xdr:col>
                    <xdr:colOff>4470400</xdr:colOff>
                    <xdr:row>5</xdr:row>
                    <xdr:rowOff>381000</xdr:rowOff>
                  </from>
                  <to>
                    <xdr:col>2</xdr:col>
                    <xdr:colOff>336550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workbookViewId="0">
      <selection activeCell="J32" sqref="J32"/>
    </sheetView>
  </sheetViews>
  <sheetFormatPr defaultRowHeight="14.5" x14ac:dyDescent="0.35"/>
  <cols>
    <col min="1" max="1" width="21.54296875" style="8" customWidth="1"/>
    <col min="2" max="2" width="9.1796875" style="2"/>
    <col min="3" max="3" width="13.26953125" style="2" customWidth="1"/>
    <col min="4" max="4" width="14.1796875" customWidth="1"/>
    <col min="6" max="6" width="12.81640625" hidden="1" customWidth="1"/>
  </cols>
  <sheetData>
    <row r="1" spans="1:6" ht="16.5" x14ac:dyDescent="0.45">
      <c r="A1" s="1"/>
      <c r="B1" s="1" t="s">
        <v>101</v>
      </c>
      <c r="C1" s="1" t="s">
        <v>102</v>
      </c>
      <c r="D1" s="1" t="s">
        <v>103</v>
      </c>
    </row>
    <row r="2" spans="1:6" ht="18.5" x14ac:dyDescent="0.45">
      <c r="A2" s="8" t="s">
        <v>30</v>
      </c>
      <c r="B2" s="4">
        <v>524.20000000000005</v>
      </c>
      <c r="C2" s="4">
        <v>2957.3</v>
      </c>
      <c r="D2" s="4">
        <v>4874747</v>
      </c>
      <c r="F2" s="9" t="s">
        <v>86</v>
      </c>
    </row>
    <row r="3" spans="1:6" ht="18.5" x14ac:dyDescent="0.45">
      <c r="A3" s="8" t="s">
        <v>31</v>
      </c>
      <c r="B3" s="4">
        <v>829</v>
      </c>
      <c r="C3" s="4">
        <v>3542.1</v>
      </c>
      <c r="D3" s="4">
        <v>739795</v>
      </c>
      <c r="F3" s="9" t="s">
        <v>87</v>
      </c>
    </row>
    <row r="4" spans="1:6" ht="18.5" x14ac:dyDescent="0.45">
      <c r="A4" s="8" t="s">
        <v>32</v>
      </c>
      <c r="B4" s="4">
        <v>508</v>
      </c>
      <c r="C4" s="4">
        <v>2914.9</v>
      </c>
      <c r="D4" s="4">
        <v>7016270</v>
      </c>
      <c r="F4" s="9" t="s">
        <v>83</v>
      </c>
    </row>
    <row r="5" spans="1:6" x14ac:dyDescent="0.35">
      <c r="A5" s="8" t="s">
        <v>33</v>
      </c>
      <c r="B5" s="4">
        <v>554.9</v>
      </c>
      <c r="C5" s="4">
        <v>3078.6</v>
      </c>
      <c r="D5" s="4">
        <v>3004279</v>
      </c>
    </row>
    <row r="6" spans="1:6" x14ac:dyDescent="0.35">
      <c r="A6" s="8" t="s">
        <v>34</v>
      </c>
      <c r="B6" s="4">
        <v>449.3</v>
      </c>
      <c r="C6" s="4">
        <v>2496.6999999999998</v>
      </c>
      <c r="D6" s="4">
        <v>39536653</v>
      </c>
    </row>
    <row r="7" spans="1:6" x14ac:dyDescent="0.35">
      <c r="A7" s="8" t="s">
        <v>35</v>
      </c>
      <c r="B7" s="4">
        <v>368.1</v>
      </c>
      <c r="C7" s="4">
        <v>2701.6</v>
      </c>
      <c r="D7" s="4">
        <v>5607154</v>
      </c>
    </row>
    <row r="8" spans="1:6" x14ac:dyDescent="0.35">
      <c r="A8" s="8" t="s">
        <v>36</v>
      </c>
      <c r="B8" s="4">
        <v>228</v>
      </c>
      <c r="C8" s="4">
        <v>1769.9</v>
      </c>
      <c r="D8" s="4">
        <v>3588184</v>
      </c>
    </row>
    <row r="9" spans="1:6" x14ac:dyDescent="0.35">
      <c r="A9" s="8" t="s">
        <v>37</v>
      </c>
      <c r="B9" s="4">
        <v>453.4</v>
      </c>
      <c r="C9" s="4">
        <v>2440.6</v>
      </c>
      <c r="D9" s="4">
        <v>961939</v>
      </c>
    </row>
    <row r="10" spans="1:6" x14ac:dyDescent="0.35">
      <c r="A10" s="8" t="s">
        <v>38</v>
      </c>
      <c r="B10" s="4">
        <v>1004.9</v>
      </c>
      <c r="C10" s="4">
        <v>4283.8999999999996</v>
      </c>
      <c r="D10" s="4">
        <v>693972</v>
      </c>
    </row>
    <row r="11" spans="1:6" x14ac:dyDescent="0.35">
      <c r="A11" s="8" t="s">
        <v>39</v>
      </c>
      <c r="B11" s="4">
        <v>408</v>
      </c>
      <c r="C11" s="4">
        <v>2512.4</v>
      </c>
      <c r="D11" s="4">
        <v>20984400</v>
      </c>
    </row>
    <row r="12" spans="1:6" x14ac:dyDescent="0.35">
      <c r="A12" s="8" t="s">
        <v>40</v>
      </c>
      <c r="B12" s="4">
        <v>357.2</v>
      </c>
      <c r="C12" s="4">
        <v>2860.2</v>
      </c>
      <c r="D12" s="4">
        <v>10429379</v>
      </c>
    </row>
    <row r="13" spans="1:6" x14ac:dyDescent="0.35">
      <c r="A13" s="8" t="s">
        <v>41</v>
      </c>
      <c r="B13" s="4">
        <v>250.6</v>
      </c>
      <c r="C13" s="4">
        <v>2829.5</v>
      </c>
      <c r="D13" s="4">
        <v>1427538</v>
      </c>
    </row>
    <row r="14" spans="1:6" x14ac:dyDescent="0.35">
      <c r="A14" s="8" t="s">
        <v>42</v>
      </c>
      <c r="B14" s="4">
        <v>226.4</v>
      </c>
      <c r="C14" s="4">
        <v>1635.4</v>
      </c>
      <c r="D14" s="4">
        <v>1716943</v>
      </c>
    </row>
    <row r="15" spans="1:6" x14ac:dyDescent="0.35">
      <c r="A15" s="8" t="s">
        <v>43</v>
      </c>
      <c r="B15" s="4">
        <v>438.8</v>
      </c>
      <c r="C15" s="4">
        <v>2011.4</v>
      </c>
      <c r="D15" s="4">
        <v>12802023</v>
      </c>
    </row>
    <row r="16" spans="1:6" x14ac:dyDescent="0.35">
      <c r="A16" s="8" t="s">
        <v>44</v>
      </c>
      <c r="B16" s="4">
        <v>399</v>
      </c>
      <c r="C16" s="4">
        <v>2416.9</v>
      </c>
      <c r="D16" s="4">
        <v>6666818</v>
      </c>
    </row>
    <row r="17" spans="1:4" x14ac:dyDescent="0.35">
      <c r="A17" s="8" t="s">
        <v>45</v>
      </c>
      <c r="B17" s="4">
        <v>293.39999999999998</v>
      </c>
      <c r="C17" s="4">
        <v>2125.3000000000002</v>
      </c>
      <c r="D17" s="4">
        <v>3145711</v>
      </c>
    </row>
    <row r="18" spans="1:4" x14ac:dyDescent="0.35">
      <c r="A18" s="8" t="s">
        <v>46</v>
      </c>
      <c r="B18" s="4">
        <v>413</v>
      </c>
      <c r="C18" s="4">
        <v>2800.9</v>
      </c>
      <c r="D18" s="4">
        <v>2913123</v>
      </c>
    </row>
    <row r="19" spans="1:4" x14ac:dyDescent="0.35">
      <c r="A19" s="8" t="s">
        <v>47</v>
      </c>
      <c r="B19" s="4">
        <v>225.8</v>
      </c>
      <c r="C19" s="4">
        <v>2129.1</v>
      </c>
      <c r="D19" s="4">
        <v>4454189</v>
      </c>
    </row>
    <row r="20" spans="1:4" x14ac:dyDescent="0.35">
      <c r="A20" s="8" t="s">
        <v>48</v>
      </c>
      <c r="B20" s="4">
        <v>557</v>
      </c>
      <c r="C20" s="4">
        <v>3366.8</v>
      </c>
      <c r="D20" s="4">
        <v>4684333</v>
      </c>
    </row>
    <row r="21" spans="1:4" x14ac:dyDescent="0.35">
      <c r="A21" s="8" t="s">
        <v>49</v>
      </c>
      <c r="B21" s="4">
        <v>121</v>
      </c>
      <c r="C21" s="4">
        <v>1507.1</v>
      </c>
      <c r="D21" s="4">
        <v>1335907</v>
      </c>
    </row>
    <row r="22" spans="1:4" x14ac:dyDescent="0.35">
      <c r="A22" s="8" t="s">
        <v>50</v>
      </c>
      <c r="B22" s="4">
        <v>500.2</v>
      </c>
      <c r="C22" s="4">
        <v>2222.3000000000002</v>
      </c>
      <c r="D22" s="4">
        <v>6052177</v>
      </c>
    </row>
    <row r="23" spans="1:4" x14ac:dyDescent="0.35">
      <c r="A23" s="8" t="s">
        <v>51</v>
      </c>
      <c r="B23" s="4">
        <v>358</v>
      </c>
      <c r="C23" s="4">
        <v>1437</v>
      </c>
      <c r="D23" s="4">
        <v>6859819</v>
      </c>
    </row>
    <row r="24" spans="1:4" x14ac:dyDescent="0.35">
      <c r="A24" s="8" t="s">
        <v>52</v>
      </c>
      <c r="B24" s="4">
        <v>450</v>
      </c>
      <c r="C24" s="4">
        <v>1800</v>
      </c>
      <c r="D24" s="4">
        <v>9962311</v>
      </c>
    </row>
    <row r="25" spans="1:4" x14ac:dyDescent="0.35">
      <c r="A25" s="8" t="s">
        <v>53</v>
      </c>
      <c r="B25" s="4">
        <v>238.3</v>
      </c>
      <c r="C25" s="4">
        <v>2191.5</v>
      </c>
      <c r="D25" s="4">
        <v>5576606</v>
      </c>
    </row>
    <row r="26" spans="1:4" x14ac:dyDescent="0.35">
      <c r="A26" s="8" t="s">
        <v>54</v>
      </c>
      <c r="B26" s="4">
        <v>285.7</v>
      </c>
      <c r="C26" s="4">
        <v>2733.9</v>
      </c>
      <c r="D26" s="4">
        <v>2984100</v>
      </c>
    </row>
    <row r="27" spans="1:4" x14ac:dyDescent="0.35">
      <c r="A27" s="8" t="s">
        <v>55</v>
      </c>
      <c r="B27" s="4">
        <v>530.29999999999995</v>
      </c>
      <c r="C27" s="4">
        <v>2833.9</v>
      </c>
      <c r="D27" s="4">
        <v>6113532</v>
      </c>
    </row>
    <row r="28" spans="1:4" x14ac:dyDescent="0.35">
      <c r="A28" s="8" t="s">
        <v>56</v>
      </c>
      <c r="B28" s="4">
        <v>377.1</v>
      </c>
      <c r="C28" s="4">
        <v>2591.6</v>
      </c>
      <c r="D28" s="4">
        <v>1050493</v>
      </c>
    </row>
    <row r="29" spans="1:4" x14ac:dyDescent="0.35">
      <c r="A29" s="8" t="s">
        <v>57</v>
      </c>
      <c r="B29" s="4">
        <v>305.89999999999998</v>
      </c>
      <c r="C29" s="4">
        <v>2274</v>
      </c>
      <c r="D29" s="4">
        <v>1920076</v>
      </c>
    </row>
    <row r="30" spans="1:4" x14ac:dyDescent="0.35">
      <c r="A30" s="8" t="s">
        <v>58</v>
      </c>
      <c r="B30" s="4">
        <v>555.9</v>
      </c>
      <c r="C30" s="4">
        <v>2612.4</v>
      </c>
      <c r="D30" s="4">
        <v>2998039</v>
      </c>
    </row>
    <row r="31" spans="1:4" x14ac:dyDescent="0.35">
      <c r="A31" s="8" t="s">
        <v>59</v>
      </c>
      <c r="B31" s="4">
        <v>198.7</v>
      </c>
      <c r="C31" s="4">
        <v>1381.8</v>
      </c>
      <c r="D31" s="4">
        <v>1342795</v>
      </c>
    </row>
    <row r="32" spans="1:4" x14ac:dyDescent="0.35">
      <c r="A32" s="8" t="s">
        <v>60</v>
      </c>
      <c r="B32" s="4">
        <v>228.8</v>
      </c>
      <c r="C32" s="4">
        <v>1555.5</v>
      </c>
      <c r="D32" s="4">
        <v>9005644</v>
      </c>
    </row>
    <row r="33" spans="1:4" x14ac:dyDescent="0.35">
      <c r="A33" s="8" t="s">
        <v>61</v>
      </c>
      <c r="B33" s="4">
        <v>783.5</v>
      </c>
      <c r="C33" s="4">
        <v>3941.7</v>
      </c>
      <c r="D33" s="4">
        <v>2088070</v>
      </c>
    </row>
    <row r="34" spans="1:4" x14ac:dyDescent="0.35">
      <c r="A34" s="8" t="s">
        <v>62</v>
      </c>
      <c r="B34" s="4">
        <v>356.7</v>
      </c>
      <c r="C34" s="4">
        <v>1514.2</v>
      </c>
      <c r="D34" s="4">
        <v>19849399</v>
      </c>
    </row>
    <row r="35" spans="1:4" x14ac:dyDescent="0.35">
      <c r="A35" s="8" t="s">
        <v>63</v>
      </c>
      <c r="B35" s="4">
        <v>363.7</v>
      </c>
      <c r="C35" s="4">
        <v>2545.3000000000002</v>
      </c>
      <c r="D35" s="4">
        <v>10273419</v>
      </c>
    </row>
    <row r="36" spans="1:4" x14ac:dyDescent="0.35">
      <c r="A36" s="8" t="s">
        <v>64</v>
      </c>
      <c r="B36" s="4">
        <v>281.3</v>
      </c>
      <c r="C36" s="4">
        <v>2197.8000000000002</v>
      </c>
      <c r="D36" s="4">
        <v>755393</v>
      </c>
    </row>
    <row r="37" spans="1:4" x14ac:dyDescent="0.35">
      <c r="A37" s="8" t="s">
        <v>65</v>
      </c>
      <c r="B37" s="4">
        <v>297.5</v>
      </c>
      <c r="C37" s="4">
        <v>2419.1</v>
      </c>
      <c r="D37" s="4">
        <v>11658609</v>
      </c>
    </row>
    <row r="38" spans="1:4" x14ac:dyDescent="0.35">
      <c r="A38" s="8" t="s">
        <v>66</v>
      </c>
      <c r="B38" s="4">
        <v>456.2</v>
      </c>
      <c r="C38" s="4">
        <v>2876.4</v>
      </c>
      <c r="D38" s="4">
        <v>3930864</v>
      </c>
    </row>
    <row r="39" spans="1:4" x14ac:dyDescent="0.35">
      <c r="A39" s="8" t="s">
        <v>67</v>
      </c>
      <c r="B39" s="4">
        <v>281.8</v>
      </c>
      <c r="C39" s="4">
        <v>2986.5</v>
      </c>
      <c r="D39" s="4">
        <v>4142776</v>
      </c>
    </row>
    <row r="40" spans="1:4" x14ac:dyDescent="0.35">
      <c r="A40" s="8" t="s">
        <v>68</v>
      </c>
      <c r="B40" s="4">
        <v>313.3</v>
      </c>
      <c r="C40" s="4">
        <v>1649.4</v>
      </c>
      <c r="D40" s="4">
        <v>12805537</v>
      </c>
    </row>
    <row r="41" spans="1:4" x14ac:dyDescent="0.35">
      <c r="A41" s="8" t="s">
        <v>69</v>
      </c>
      <c r="B41" s="4">
        <v>232.2</v>
      </c>
      <c r="C41" s="4">
        <v>1751.6</v>
      </c>
      <c r="D41" s="4">
        <v>1059639</v>
      </c>
    </row>
    <row r="42" spans="1:4" x14ac:dyDescent="0.35">
      <c r="A42" s="8" t="s">
        <v>70</v>
      </c>
      <c r="B42" s="4">
        <v>506.2</v>
      </c>
      <c r="C42" s="4">
        <v>3195.9</v>
      </c>
      <c r="D42" s="4">
        <v>5024369</v>
      </c>
    </row>
    <row r="43" spans="1:4" x14ac:dyDescent="0.35">
      <c r="A43" s="8" t="s">
        <v>71</v>
      </c>
      <c r="B43" s="4">
        <v>433.6</v>
      </c>
      <c r="C43" s="4">
        <v>1876.2</v>
      </c>
      <c r="D43" s="4">
        <v>869666</v>
      </c>
    </row>
    <row r="44" spans="1:4" x14ac:dyDescent="0.35">
      <c r="A44" s="8" t="s">
        <v>72</v>
      </c>
      <c r="B44" s="4">
        <v>651.5</v>
      </c>
      <c r="C44" s="4">
        <v>2940.6</v>
      </c>
      <c r="D44" s="4">
        <v>6715984</v>
      </c>
    </row>
    <row r="45" spans="1:4" x14ac:dyDescent="0.35">
      <c r="A45" s="8" t="s">
        <v>73</v>
      </c>
      <c r="B45" s="4">
        <v>438.9</v>
      </c>
      <c r="C45" s="4">
        <v>2562.6</v>
      </c>
      <c r="D45" s="4">
        <v>28304596</v>
      </c>
    </row>
    <row r="46" spans="1:4" x14ac:dyDescent="0.35">
      <c r="A46" s="8" t="s">
        <v>74</v>
      </c>
      <c r="B46" s="4">
        <v>238.9</v>
      </c>
      <c r="C46" s="4">
        <v>2780.2</v>
      </c>
      <c r="D46" s="4">
        <v>3101833</v>
      </c>
    </row>
    <row r="47" spans="1:4" x14ac:dyDescent="0.35">
      <c r="A47" s="8" t="s">
        <v>75</v>
      </c>
      <c r="B47" s="4">
        <v>165.8</v>
      </c>
      <c r="C47" s="4">
        <v>1436.7</v>
      </c>
      <c r="D47" s="4">
        <v>623657</v>
      </c>
    </row>
    <row r="48" spans="1:4" x14ac:dyDescent="0.35">
      <c r="A48" s="8" t="s">
        <v>76</v>
      </c>
      <c r="B48" s="4">
        <v>208.2</v>
      </c>
      <c r="C48" s="4">
        <v>1792.9</v>
      </c>
      <c r="D48" s="4">
        <v>8470020</v>
      </c>
    </row>
    <row r="49" spans="1:4" x14ac:dyDescent="0.35">
      <c r="A49" s="8" t="s">
        <v>77</v>
      </c>
      <c r="B49" s="4">
        <v>304.5</v>
      </c>
      <c r="C49" s="4">
        <v>3173.6</v>
      </c>
      <c r="D49" s="4">
        <v>7405743</v>
      </c>
    </row>
    <row r="50" spans="1:4" x14ac:dyDescent="0.35">
      <c r="A50" s="8" t="s">
        <v>78</v>
      </c>
      <c r="B50" s="4">
        <v>350.7</v>
      </c>
      <c r="C50" s="4">
        <v>1852</v>
      </c>
      <c r="D50" s="4">
        <v>1815857</v>
      </c>
    </row>
    <row r="51" spans="1:4" x14ac:dyDescent="0.35">
      <c r="A51" s="8" t="s">
        <v>79</v>
      </c>
      <c r="B51" s="4">
        <v>319.89999999999998</v>
      </c>
      <c r="C51" s="4">
        <v>1808.3</v>
      </c>
      <c r="D51" s="4">
        <v>5795483</v>
      </c>
    </row>
    <row r="52" spans="1:4" x14ac:dyDescent="0.35">
      <c r="A52" s="8" t="s">
        <v>80</v>
      </c>
      <c r="B52" s="4">
        <v>237.5</v>
      </c>
      <c r="C52" s="4">
        <v>1830.4</v>
      </c>
      <c r="D52" s="4">
        <v>579315</v>
      </c>
    </row>
  </sheetData>
  <sheetProtection algorithmName="SHA-512" hashValue="O1s7+lWMzRw8nNa/RON+0n//2Sek5if4NyLsp1kv6OxLT9Sc9OqqbiZwAanGdNshJ3iDsydTH5XXNo/hx4GDKg==" saltValue="S5aNl+Uw2BWaJYsL7gsFVA==" spinCount="100000" sheet="1" objects="1" scenarios="1"/>
  <sortState ref="C2:C52">
    <sortCondition ref="C2:C5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52"/>
  <sheetViews>
    <sheetView workbookViewId="0">
      <selection activeCell="F9" sqref="F9"/>
    </sheetView>
  </sheetViews>
  <sheetFormatPr defaultRowHeight="14.5" x14ac:dyDescent="0.35"/>
  <cols>
    <col min="2" max="2" width="15" customWidth="1"/>
  </cols>
  <sheetData>
    <row r="2" spans="1:2" x14ac:dyDescent="0.35">
      <c r="A2" s="1" t="s">
        <v>86</v>
      </c>
      <c r="B2" s="5" t="s">
        <v>30</v>
      </c>
    </row>
    <row r="3" spans="1:2" x14ac:dyDescent="0.35">
      <c r="A3" s="1" t="s">
        <v>87</v>
      </c>
      <c r="B3" s="5" t="s">
        <v>31</v>
      </c>
    </row>
    <row r="4" spans="1:2" x14ac:dyDescent="0.35">
      <c r="A4" s="1" t="s">
        <v>83</v>
      </c>
      <c r="B4" s="5" t="s">
        <v>32</v>
      </c>
    </row>
    <row r="5" spans="1:2" x14ac:dyDescent="0.35">
      <c r="B5" s="5" t="s">
        <v>33</v>
      </c>
    </row>
    <row r="6" spans="1:2" x14ac:dyDescent="0.35">
      <c r="B6" s="5" t="s">
        <v>34</v>
      </c>
    </row>
    <row r="7" spans="1:2" x14ac:dyDescent="0.35">
      <c r="B7" s="5" t="s">
        <v>35</v>
      </c>
    </row>
    <row r="8" spans="1:2" x14ac:dyDescent="0.35">
      <c r="B8" s="5" t="s">
        <v>36</v>
      </c>
    </row>
    <row r="9" spans="1:2" x14ac:dyDescent="0.35">
      <c r="B9" s="5" t="s">
        <v>37</v>
      </c>
    </row>
    <row r="10" spans="1:2" x14ac:dyDescent="0.35">
      <c r="B10" s="5" t="s">
        <v>38</v>
      </c>
    </row>
    <row r="11" spans="1:2" x14ac:dyDescent="0.35">
      <c r="B11" s="5" t="s">
        <v>39</v>
      </c>
    </row>
    <row r="12" spans="1:2" x14ac:dyDescent="0.35">
      <c r="B12" s="5" t="s">
        <v>40</v>
      </c>
    </row>
    <row r="13" spans="1:2" x14ac:dyDescent="0.35">
      <c r="B13" s="5" t="s">
        <v>41</v>
      </c>
    </row>
    <row r="14" spans="1:2" x14ac:dyDescent="0.35">
      <c r="B14" s="5" t="s">
        <v>42</v>
      </c>
    </row>
    <row r="15" spans="1:2" x14ac:dyDescent="0.35">
      <c r="B15" s="5" t="s">
        <v>43</v>
      </c>
    </row>
    <row r="16" spans="1:2" x14ac:dyDescent="0.35">
      <c r="B16" s="5" t="s">
        <v>44</v>
      </c>
    </row>
    <row r="17" spans="2:2" x14ac:dyDescent="0.35">
      <c r="B17" s="5" t="s">
        <v>45</v>
      </c>
    </row>
    <row r="18" spans="2:2" x14ac:dyDescent="0.35">
      <c r="B18" s="5" t="s">
        <v>46</v>
      </c>
    </row>
    <row r="19" spans="2:2" x14ac:dyDescent="0.35">
      <c r="B19" s="5" t="s">
        <v>47</v>
      </c>
    </row>
    <row r="20" spans="2:2" x14ac:dyDescent="0.35">
      <c r="B20" s="5" t="s">
        <v>48</v>
      </c>
    </row>
    <row r="21" spans="2:2" x14ac:dyDescent="0.35">
      <c r="B21" s="5" t="s">
        <v>49</v>
      </c>
    </row>
    <row r="22" spans="2:2" x14ac:dyDescent="0.35">
      <c r="B22" s="5" t="s">
        <v>50</v>
      </c>
    </row>
    <row r="23" spans="2:2" x14ac:dyDescent="0.35">
      <c r="B23" s="5" t="s">
        <v>51</v>
      </c>
    </row>
    <row r="24" spans="2:2" x14ac:dyDescent="0.35">
      <c r="B24" s="5" t="s">
        <v>52</v>
      </c>
    </row>
    <row r="25" spans="2:2" x14ac:dyDescent="0.35">
      <c r="B25" s="5" t="s">
        <v>53</v>
      </c>
    </row>
    <row r="26" spans="2:2" x14ac:dyDescent="0.35">
      <c r="B26" s="5" t="s">
        <v>54</v>
      </c>
    </row>
    <row r="27" spans="2:2" x14ac:dyDescent="0.35">
      <c r="B27" s="5" t="s">
        <v>55</v>
      </c>
    </row>
    <row r="28" spans="2:2" x14ac:dyDescent="0.35">
      <c r="B28" s="5" t="s">
        <v>56</v>
      </c>
    </row>
    <row r="29" spans="2:2" x14ac:dyDescent="0.35">
      <c r="B29" s="5" t="s">
        <v>57</v>
      </c>
    </row>
    <row r="30" spans="2:2" x14ac:dyDescent="0.35">
      <c r="B30" s="5" t="s">
        <v>58</v>
      </c>
    </row>
    <row r="31" spans="2:2" x14ac:dyDescent="0.35">
      <c r="B31" s="5" t="s">
        <v>59</v>
      </c>
    </row>
    <row r="32" spans="2:2" x14ac:dyDescent="0.35">
      <c r="B32" s="5" t="s">
        <v>60</v>
      </c>
    </row>
    <row r="33" spans="2:2" x14ac:dyDescent="0.35">
      <c r="B33" s="5" t="s">
        <v>61</v>
      </c>
    </row>
    <row r="34" spans="2:2" x14ac:dyDescent="0.35">
      <c r="B34" s="5" t="s">
        <v>62</v>
      </c>
    </row>
    <row r="35" spans="2:2" x14ac:dyDescent="0.35">
      <c r="B35" s="5" t="s">
        <v>63</v>
      </c>
    </row>
    <row r="36" spans="2:2" x14ac:dyDescent="0.35">
      <c r="B36" s="5" t="s">
        <v>64</v>
      </c>
    </row>
    <row r="37" spans="2:2" x14ac:dyDescent="0.35">
      <c r="B37" s="5" t="s">
        <v>65</v>
      </c>
    </row>
    <row r="38" spans="2:2" x14ac:dyDescent="0.35">
      <c r="B38" s="5" t="s">
        <v>66</v>
      </c>
    </row>
    <row r="39" spans="2:2" x14ac:dyDescent="0.35">
      <c r="B39" s="5" t="s">
        <v>67</v>
      </c>
    </row>
    <row r="40" spans="2:2" x14ac:dyDescent="0.35">
      <c r="B40" s="5" t="s">
        <v>68</v>
      </c>
    </row>
    <row r="41" spans="2:2" x14ac:dyDescent="0.35">
      <c r="B41" s="5" t="s">
        <v>69</v>
      </c>
    </row>
    <row r="42" spans="2:2" x14ac:dyDescent="0.35">
      <c r="B42" s="5" t="s">
        <v>70</v>
      </c>
    </row>
    <row r="43" spans="2:2" x14ac:dyDescent="0.35">
      <c r="B43" s="5" t="s">
        <v>71</v>
      </c>
    </row>
    <row r="44" spans="2:2" x14ac:dyDescent="0.35">
      <c r="B44" s="5" t="s">
        <v>72</v>
      </c>
    </row>
    <row r="45" spans="2:2" x14ac:dyDescent="0.35">
      <c r="B45" s="5" t="s">
        <v>73</v>
      </c>
    </row>
    <row r="46" spans="2:2" x14ac:dyDescent="0.35">
      <c r="B46" s="5" t="s">
        <v>74</v>
      </c>
    </row>
    <row r="47" spans="2:2" x14ac:dyDescent="0.35">
      <c r="B47" s="5" t="s">
        <v>75</v>
      </c>
    </row>
    <row r="48" spans="2:2" x14ac:dyDescent="0.35">
      <c r="B48" s="5" t="s">
        <v>76</v>
      </c>
    </row>
    <row r="49" spans="2:2" x14ac:dyDescent="0.35">
      <c r="B49" s="5" t="s">
        <v>77</v>
      </c>
    </row>
    <row r="50" spans="2:2" x14ac:dyDescent="0.35">
      <c r="B50" s="5" t="s">
        <v>78</v>
      </c>
    </row>
    <row r="51" spans="2:2" x14ac:dyDescent="0.35">
      <c r="B51" s="5" t="s">
        <v>79</v>
      </c>
    </row>
    <row r="52" spans="2:2" x14ac:dyDescent="0.35">
      <c r="B52" s="5"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Q49"/>
  <sheetViews>
    <sheetView workbookViewId="0">
      <pane xSplit="2" ySplit="1" topLeftCell="C2" activePane="bottomRight" state="frozen"/>
      <selection pane="topRight" activeCell="C1" sqref="C1"/>
      <selection pane="bottomLeft" activeCell="A2" sqref="A2"/>
      <selection pane="bottomRight" activeCell="X11" sqref="X11"/>
    </sheetView>
  </sheetViews>
  <sheetFormatPr defaultRowHeight="14.5" x14ac:dyDescent="0.35"/>
  <cols>
    <col min="2" max="2" width="30.1796875" hidden="1" customWidth="1"/>
    <col min="3" max="14" width="14" hidden="1" customWidth="1"/>
    <col min="15" max="15" width="17.81640625" hidden="1" customWidth="1"/>
    <col min="16" max="16" width="8.7265625" hidden="1" customWidth="1"/>
    <col min="17" max="17" width="9.1796875" hidden="1" customWidth="1"/>
  </cols>
  <sheetData>
    <row r="1" spans="2:16" x14ac:dyDescent="0.35">
      <c r="B1" s="1" t="s">
        <v>0</v>
      </c>
      <c r="C1" s="1" t="s">
        <v>1</v>
      </c>
      <c r="D1" s="1" t="s">
        <v>2</v>
      </c>
      <c r="E1" s="1" t="s">
        <v>3</v>
      </c>
      <c r="F1" s="1" t="s">
        <v>4</v>
      </c>
      <c r="G1" s="1" t="s">
        <v>5</v>
      </c>
      <c r="H1" s="1" t="s">
        <v>6</v>
      </c>
      <c r="I1" s="1" t="s">
        <v>7</v>
      </c>
      <c r="J1" s="1" t="s">
        <v>8</v>
      </c>
      <c r="K1" s="1" t="s">
        <v>9</v>
      </c>
      <c r="L1" s="1" t="s">
        <v>10</v>
      </c>
      <c r="M1" s="1" t="s">
        <v>11</v>
      </c>
      <c r="N1" s="2" t="s">
        <v>91</v>
      </c>
      <c r="O1" s="2" t="s">
        <v>92</v>
      </c>
      <c r="P1" s="2" t="s">
        <v>90</v>
      </c>
    </row>
    <row r="2" spans="2:16" x14ac:dyDescent="0.35">
      <c r="B2" t="s">
        <v>12</v>
      </c>
      <c r="C2" s="2">
        <v>4.1622588170698416</v>
      </c>
      <c r="D2" s="2">
        <v>0.31561451829494663</v>
      </c>
      <c r="E2" s="2">
        <v>-7.8428291589304065E-8</v>
      </c>
      <c r="F2" s="2">
        <v>7.8616841765260272E-3</v>
      </c>
      <c r="G2" s="2">
        <v>-1.0825202963147011E-3</v>
      </c>
      <c r="H2" s="2">
        <v>-1.161652912830633</v>
      </c>
      <c r="I2" s="2">
        <v>3.1899902726971345</v>
      </c>
      <c r="J2" s="2">
        <v>-4.6605852789308819E-3</v>
      </c>
      <c r="K2" s="2">
        <v>1.1885823978615752E-3</v>
      </c>
      <c r="L2" s="2">
        <v>-2.0638159686993542E-2</v>
      </c>
      <c r="M2" s="2">
        <v>1.7743797819581755E-3</v>
      </c>
      <c r="N2" s="2"/>
    </row>
    <row r="3" spans="2:16" x14ac:dyDescent="0.35">
      <c r="B3" t="s">
        <v>13</v>
      </c>
      <c r="C3" s="2">
        <v>1.0359698158860566</v>
      </c>
      <c r="D3" s="2">
        <v>0.55449314560600949</v>
      </c>
      <c r="E3" s="2">
        <v>-2.9684820274853022E-7</v>
      </c>
      <c r="F3" s="2">
        <v>-5.9898585086385339E-3</v>
      </c>
      <c r="G3" s="2">
        <v>1.2009832078851651E-3</v>
      </c>
      <c r="H3" s="2">
        <v>-0.29147866233978664</v>
      </c>
      <c r="I3" s="2">
        <v>0.57657992053973661</v>
      </c>
      <c r="J3" s="2">
        <v>2.7597351279844153E-3</v>
      </c>
      <c r="K3" s="2">
        <v>-5.6711973606280569E-4</v>
      </c>
      <c r="L3" s="2">
        <v>8.839429820948359E-3</v>
      </c>
      <c r="M3" s="2">
        <v>-1.8597780891453041E-3</v>
      </c>
    </row>
    <row r="4" spans="2:16" x14ac:dyDescent="0.35">
      <c r="B4" t="s">
        <v>14</v>
      </c>
      <c r="C4" s="2">
        <v>-0.20495590794110985</v>
      </c>
      <c r="D4" s="2">
        <v>0.96298190195921052</v>
      </c>
      <c r="E4" s="2">
        <v>-9.3297820366751768E-8</v>
      </c>
      <c r="F4" s="2">
        <v>2.2457948069559519E-3</v>
      </c>
      <c r="G4" s="2">
        <v>-6.7859865153381365E-4</v>
      </c>
      <c r="H4" s="2">
        <v>-1.5129294417056054</v>
      </c>
      <c r="I4" s="2">
        <v>0</v>
      </c>
      <c r="J4" s="2">
        <v>-9.4472857932348577E-3</v>
      </c>
      <c r="K4" s="2">
        <v>1.8269902434112693E-3</v>
      </c>
      <c r="L4" s="2">
        <v>0</v>
      </c>
      <c r="M4" s="2">
        <v>0</v>
      </c>
    </row>
    <row r="5" spans="2:16" x14ac:dyDescent="0.35">
      <c r="B5" t="s">
        <v>15</v>
      </c>
      <c r="C5" s="2">
        <v>3.6577687490896702</v>
      </c>
      <c r="D5" s="2">
        <v>0.27466539356283304</v>
      </c>
      <c r="E5" s="2">
        <v>2.1991293199434753E-8</v>
      </c>
      <c r="F5" s="2">
        <v>-3.1108553887269686E-3</v>
      </c>
      <c r="G5" s="2">
        <v>5.6821979233097221E-5</v>
      </c>
      <c r="H5" s="2">
        <v>-1.0824827540040989</v>
      </c>
      <c r="I5" s="2">
        <v>-3.4720680526195897</v>
      </c>
      <c r="J5" s="2">
        <v>3.1580535353368431E-3</v>
      </c>
      <c r="K5" s="2">
        <v>-1.7882473311859709E-4</v>
      </c>
      <c r="L5" s="2">
        <v>3.0655622564492984E-3</v>
      </c>
      <c r="M5" s="2">
        <v>7.7491207847657311E-4</v>
      </c>
    </row>
    <row r="6" spans="2:16" x14ac:dyDescent="0.35">
      <c r="B6" t="s">
        <v>16</v>
      </c>
      <c r="C6" s="2">
        <v>1.4476982968921073</v>
      </c>
      <c r="D6" s="2">
        <v>0.83555351389023969</v>
      </c>
      <c r="E6" s="2">
        <v>-9.3631369974623242E-8</v>
      </c>
      <c r="F6" s="2">
        <v>-5.63942494547328E-3</v>
      </c>
      <c r="G6" s="2">
        <v>2.444554348276417E-4</v>
      </c>
      <c r="H6" s="2">
        <v>0.25715075979780622</v>
      </c>
      <c r="I6" s="2">
        <v>0</v>
      </c>
      <c r="J6" s="2">
        <v>6.1191430361252751E-3</v>
      </c>
      <c r="K6" s="2">
        <v>-6.0990939516559345E-4</v>
      </c>
      <c r="L6" s="2">
        <v>0</v>
      </c>
      <c r="M6" s="2">
        <v>0</v>
      </c>
    </row>
    <row r="7" spans="2:16" x14ac:dyDescent="0.35">
      <c r="B7" t="s">
        <v>17</v>
      </c>
      <c r="C7" s="2">
        <v>2.8684645451787394</v>
      </c>
      <c r="D7" s="2">
        <v>0.578882117046575</v>
      </c>
      <c r="E7" s="2">
        <v>3.1905668325509773E-9</v>
      </c>
      <c r="F7" s="2">
        <v>1.9565933364426567E-3</v>
      </c>
      <c r="G7" s="2">
        <v>-6.9727808616973472E-4</v>
      </c>
      <c r="H7" s="2">
        <v>-0.77832997357811906</v>
      </c>
      <c r="I7" s="2">
        <v>-0.34126438800120673</v>
      </c>
      <c r="J7" s="2">
        <v>-3.2250309454037477E-3</v>
      </c>
      <c r="K7" s="2">
        <v>5.4692815261782725E-4</v>
      </c>
      <c r="L7" s="2">
        <v>4.8410102517500034E-3</v>
      </c>
      <c r="M7" s="2">
        <v>-4.6435976753516148E-4</v>
      </c>
    </row>
    <row r="8" spans="2:16" x14ac:dyDescent="0.35">
      <c r="B8" t="s">
        <v>18</v>
      </c>
      <c r="C8" s="2">
        <v>2.1564113748537066</v>
      </c>
      <c r="D8" s="2">
        <v>0.47203123970753202</v>
      </c>
      <c r="E8" s="2">
        <v>-1.0841845382625076E-7</v>
      </c>
      <c r="F8" s="2">
        <v>-2.5321336040516791E-3</v>
      </c>
      <c r="G8" s="2">
        <v>5.1019480661315089E-4</v>
      </c>
      <c r="H8" s="2">
        <v>0.58778479489306257</v>
      </c>
      <c r="I8" s="2">
        <v>2.1611419613656175</v>
      </c>
      <c r="J8" s="2">
        <v>2.9896283939423547E-3</v>
      </c>
      <c r="K8" s="2">
        <v>-6.1561240740226619E-4</v>
      </c>
      <c r="L8" s="2">
        <v>5.6677135785613607E-3</v>
      </c>
      <c r="M8" s="2">
        <v>-1.4411079441718569E-3</v>
      </c>
    </row>
    <row r="9" spans="2:16" x14ac:dyDescent="0.35">
      <c r="B9" t="s">
        <v>19</v>
      </c>
      <c r="C9" s="2">
        <v>9.2456300143028542</v>
      </c>
      <c r="D9" s="2">
        <v>0.44285847762801051</v>
      </c>
      <c r="E9" s="2">
        <v>-5.347382082886177E-8</v>
      </c>
      <c r="F9" s="2">
        <v>-9.9305808687855223E-3</v>
      </c>
      <c r="G9" s="2">
        <v>-8.1715924197909304E-4</v>
      </c>
      <c r="H9" s="2">
        <v>-9.0930794255298046</v>
      </c>
      <c r="I9" s="2">
        <v>-8.0266540083061724</v>
      </c>
      <c r="J9" s="2">
        <v>1.2570072585073089E-2</v>
      </c>
      <c r="K9" s="2">
        <v>1.246799941850789E-3</v>
      </c>
      <c r="L9" s="2">
        <v>2.3428293327619198E-2</v>
      </c>
      <c r="M9" s="2">
        <v>-6.0631710299852821E-4</v>
      </c>
    </row>
    <row r="10" spans="2:16" x14ac:dyDescent="0.35">
      <c r="B10" t="s">
        <v>20</v>
      </c>
      <c r="C10" s="2">
        <v>2.2418619966279856</v>
      </c>
      <c r="D10" s="2">
        <v>0.26190909736552259</v>
      </c>
      <c r="E10" s="2">
        <v>1.0924871289408558E-7</v>
      </c>
      <c r="F10" s="2">
        <v>8.0103076149377426E-3</v>
      </c>
      <c r="G10" s="2">
        <v>-1.3525257675154293E-3</v>
      </c>
      <c r="H10" s="2">
        <v>0.94093722972914551</v>
      </c>
      <c r="I10" s="2">
        <v>-6.6034682529470299</v>
      </c>
      <c r="J10" s="2">
        <v>-1.3818781071477538E-2</v>
      </c>
      <c r="K10" s="2">
        <v>1.4499230592064408E-3</v>
      </c>
      <c r="L10" s="2">
        <v>-5.1519962474900717E-3</v>
      </c>
      <c r="M10" s="2">
        <v>2.4712314372490919E-3</v>
      </c>
    </row>
    <row r="11" spans="2:16" x14ac:dyDescent="0.35">
      <c r="B11" t="s">
        <v>21</v>
      </c>
      <c r="C11" s="3">
        <v>2.1916865900095885</v>
      </c>
      <c r="D11" s="3">
        <v>0.56060782090213079</v>
      </c>
      <c r="E11" s="3">
        <v>-9.7933202877672987E-8</v>
      </c>
      <c r="F11" s="3">
        <v>-6.9874160360823955E-3</v>
      </c>
      <c r="G11" s="3">
        <v>7.5898631261110108E-4</v>
      </c>
      <c r="H11" s="3">
        <v>-0.92008075185589977</v>
      </c>
      <c r="I11" s="3">
        <v>1.1796005762428439</v>
      </c>
      <c r="J11" s="3">
        <v>6.1197497329828513E-3</v>
      </c>
      <c r="K11" s="3">
        <v>-4.8842850405685621E-4</v>
      </c>
      <c r="L11" s="3">
        <v>3.6957988525014025E-3</v>
      </c>
      <c r="M11" s="2">
        <v>-9.3734763616777064E-4</v>
      </c>
    </row>
    <row r="12" spans="2:16" x14ac:dyDescent="0.35">
      <c r="B12" t="s">
        <v>22</v>
      </c>
      <c r="C12" s="3">
        <v>-3.7796628596262893</v>
      </c>
      <c r="D12" s="3">
        <v>0.67952440088064558</v>
      </c>
      <c r="E12" s="3">
        <v>-1.4996175241390977E-8</v>
      </c>
      <c r="F12" s="3">
        <v>-5.062690197404832E-3</v>
      </c>
      <c r="G12" s="3">
        <v>2.524015171240848E-3</v>
      </c>
      <c r="H12" s="3">
        <v>5.673036846077971</v>
      </c>
      <c r="I12" s="3">
        <v>6.7832788009518499</v>
      </c>
      <c r="J12" s="3">
        <v>5.9626739046648976E-3</v>
      </c>
      <c r="K12" s="3">
        <v>-2.8238308527775689E-3</v>
      </c>
      <c r="L12" s="3">
        <v>1.4276869108719552E-3</v>
      </c>
      <c r="M12" s="2">
        <v>-2.4712996300004669E-3</v>
      </c>
    </row>
    <row r="13" spans="2:16" x14ac:dyDescent="0.35">
      <c r="B13" t="s">
        <v>23</v>
      </c>
      <c r="C13" s="2">
        <v>1.5164627276752025</v>
      </c>
      <c r="D13" s="2">
        <v>0.63404119032956952</v>
      </c>
      <c r="E13" s="2">
        <v>-8.707451995636831E-8</v>
      </c>
      <c r="F13" s="2">
        <v>-3.5642255655137602E-3</v>
      </c>
      <c r="G13" s="2">
        <v>3.6496433516488197E-4</v>
      </c>
      <c r="H13" s="2">
        <v>-0.15358010532681746</v>
      </c>
      <c r="I13" s="2">
        <v>-1.0552107892842431</v>
      </c>
      <c r="J13" s="2">
        <v>2.846329471228386E-3</v>
      </c>
      <c r="K13" s="2">
        <v>-3.7990584350423845E-4</v>
      </c>
      <c r="L13" s="2">
        <v>5.7209716493227883E-3</v>
      </c>
      <c r="M13" s="2">
        <v>-5.8538956392021225E-4</v>
      </c>
    </row>
    <row r="14" spans="2:16" x14ac:dyDescent="0.35">
      <c r="B14" t="s">
        <v>24</v>
      </c>
      <c r="C14" s="2">
        <v>3.2287126085284004</v>
      </c>
      <c r="D14" s="2">
        <v>0.54963999770384298</v>
      </c>
      <c r="E14" s="2">
        <v>5.2886618701361983E-9</v>
      </c>
      <c r="F14" s="2">
        <v>-2.0469618505045296E-3</v>
      </c>
      <c r="G14" s="2">
        <v>-1.1710695131338068E-4</v>
      </c>
      <c r="H14" s="2">
        <v>-1.1771998585164229</v>
      </c>
      <c r="I14" s="2">
        <v>-3.5339539642148092</v>
      </c>
      <c r="J14" s="2">
        <v>-2.9332408074497548E-3</v>
      </c>
      <c r="K14" s="2">
        <v>6.786672392591085E-4</v>
      </c>
      <c r="L14" s="2">
        <v>4.7592564998830367E-4</v>
      </c>
      <c r="M14" s="2">
        <v>1.1284195475079919E-3</v>
      </c>
    </row>
    <row r="15" spans="2:16" x14ac:dyDescent="0.35">
      <c r="B15" t="s">
        <v>25</v>
      </c>
      <c r="C15" s="2">
        <v>-1.0183702674112596</v>
      </c>
      <c r="D15" s="2">
        <v>0.68236719701420034</v>
      </c>
      <c r="E15" s="2">
        <v>9.8032020781189523E-8</v>
      </c>
      <c r="F15" s="2">
        <v>-3.0751074012958343E-3</v>
      </c>
      <c r="G15" s="2">
        <v>1.0967317132671141E-3</v>
      </c>
      <c r="H15" s="2">
        <v>4.2603059337256903</v>
      </c>
      <c r="I15" s="2">
        <v>-8.0857748116980908</v>
      </c>
      <c r="J15" s="2">
        <v>-1.3894401548920513E-3</v>
      </c>
      <c r="K15" s="2">
        <v>-1.4434852367155185E-3</v>
      </c>
      <c r="L15" s="2">
        <v>2.9269907529690588E-2</v>
      </c>
      <c r="M15" s="2">
        <v>-1.3039448433059108E-3</v>
      </c>
    </row>
    <row r="16" spans="2:16" x14ac:dyDescent="0.35">
      <c r="B16" t="s">
        <v>26</v>
      </c>
      <c r="C16" s="2">
        <v>1.5010869978058989</v>
      </c>
      <c r="D16" s="2">
        <v>0.72799238454267778</v>
      </c>
      <c r="E16" s="2">
        <v>-4.7671766463808319E-8</v>
      </c>
      <c r="F16" s="2">
        <v>1.0738460508207307E-3</v>
      </c>
      <c r="G16" s="2">
        <v>-4.5242944251031736E-4</v>
      </c>
      <c r="H16" s="2">
        <v>-7.1187866454381493E-2</v>
      </c>
      <c r="I16" s="2">
        <v>1.461539199560695</v>
      </c>
      <c r="J16" s="2">
        <v>-8.834682802003899E-4</v>
      </c>
      <c r="K16" s="2">
        <v>1.9650742727415766E-7</v>
      </c>
      <c r="L16" s="2">
        <v>-3.1087059995105371E-3</v>
      </c>
      <c r="M16" s="2">
        <v>-1.1810150738153502E-4</v>
      </c>
    </row>
    <row r="17" spans="2:17" x14ac:dyDescent="0.35">
      <c r="B17" t="s">
        <v>27</v>
      </c>
      <c r="C17" s="2">
        <v>4.1899511421202291</v>
      </c>
      <c r="D17" s="2">
        <v>0.48053402374634313</v>
      </c>
      <c r="E17" s="2">
        <v>-1.8033398307367688E-7</v>
      </c>
      <c r="F17" s="2">
        <v>8.4625146249134493E-4</v>
      </c>
      <c r="G17" s="2">
        <v>-6.8777946493127145E-4</v>
      </c>
      <c r="H17" s="2">
        <v>-1.8131296201482878</v>
      </c>
      <c r="I17" s="2">
        <v>-1.3400355949073453</v>
      </c>
      <c r="J17" s="2">
        <v>-2.6317466241744477E-3</v>
      </c>
      <c r="K17" s="2">
        <v>1.1011583239998921E-3</v>
      </c>
      <c r="L17" s="2">
        <v>-3.1074124945510203E-3</v>
      </c>
      <c r="M17" s="2">
        <v>8.4691344382679229E-4</v>
      </c>
    </row>
    <row r="18" spans="2:17" x14ac:dyDescent="0.35">
      <c r="B18" t="s">
        <v>28</v>
      </c>
      <c r="C18" s="2">
        <v>6.9067680355366843</v>
      </c>
      <c r="D18" s="2">
        <v>0.10504109535399572</v>
      </c>
      <c r="E18" s="2">
        <v>2.7259474244588302E-10</v>
      </c>
      <c r="F18" s="2">
        <v>1.3195022476960646E-3</v>
      </c>
      <c r="G18" s="2">
        <v>-1.0873800465427575E-3</v>
      </c>
      <c r="H18" s="2">
        <v>-2.8324215165211664</v>
      </c>
      <c r="I18" s="2">
        <v>0</v>
      </c>
      <c r="J18" s="2">
        <v>-7.4174464931992348E-4</v>
      </c>
      <c r="K18" s="2">
        <v>1.2279668109204888E-3</v>
      </c>
      <c r="L18" s="2">
        <v>0</v>
      </c>
      <c r="M18" s="2">
        <v>0</v>
      </c>
    </row>
    <row r="19" spans="2:17" x14ac:dyDescent="0.35">
      <c r="B19" t="s">
        <v>29</v>
      </c>
      <c r="C19" s="2">
        <v>2.4339141425749986</v>
      </c>
      <c r="D19" s="2">
        <v>0.3296178966670798</v>
      </c>
      <c r="E19" s="2">
        <v>-8.6275134861740715E-8</v>
      </c>
      <c r="F19" s="2">
        <v>-2.760878576338938E-3</v>
      </c>
      <c r="G19" s="2">
        <v>3.6127794593825119E-4</v>
      </c>
      <c r="H19" s="2">
        <v>0.95619169859459086</v>
      </c>
      <c r="I19" s="2">
        <v>-0.71971187720773111</v>
      </c>
      <c r="J19" s="2">
        <v>3.5753942713855126E-3</v>
      </c>
      <c r="K19" s="2">
        <v>-7.2719441233560958E-4</v>
      </c>
      <c r="L19" s="2">
        <v>6.874782985645516E-3</v>
      </c>
      <c r="M19" s="2">
        <v>-7.452643613809906E-4</v>
      </c>
    </row>
    <row r="20" spans="2:17" x14ac:dyDescent="0.35">
      <c r="N20" s="2" t="s">
        <v>91</v>
      </c>
      <c r="O20" s="2" t="s">
        <v>92</v>
      </c>
      <c r="P20" s="2" t="s">
        <v>90</v>
      </c>
      <c r="Q20" s="2" t="s">
        <v>100</v>
      </c>
    </row>
    <row r="21" spans="2:17" x14ac:dyDescent="0.35">
      <c r="B21" t="s">
        <v>12</v>
      </c>
      <c r="C21" s="2">
        <f>IF('Laboratory Inputs'!B14&gt;0,1,0)</f>
        <v>0</v>
      </c>
      <c r="D21" s="2">
        <f>IF(C21&gt;0,LN('Laboratory Inputs'!B14),0)</f>
        <v>0</v>
      </c>
      <c r="E21" s="4">
        <f>IF(C21&gt;0,IF('Laboratory Inputs'!B$12&lt;11700000,'Laboratory Inputs'!B$12,1170000),0)</f>
        <v>0</v>
      </c>
      <c r="F21" s="2">
        <f>IF(C21&gt;0,IF('Laboratory Inputs'!B$9&lt;1000,'Laboratory Inputs'!B$9,1000),0)</f>
        <v>0</v>
      </c>
      <c r="G21" s="2">
        <f>IF(C21&gt;0,'Laboratory Inputs'!B$11,0)</f>
        <v>0</v>
      </c>
      <c r="H21" s="2">
        <f>IF('Laboratory Inputs'!B$5=2,IF(C21&gt;0,1,0),0)</f>
        <v>0</v>
      </c>
      <c r="I21" s="2">
        <f>IF('Laboratory Inputs'!B$5=3,IF(C21&gt;0,1,0),0)</f>
        <v>0</v>
      </c>
      <c r="J21" s="2">
        <f>IF(C21&gt;0,IF(H21&gt;0,H21*F21,0),0)</f>
        <v>0</v>
      </c>
      <c r="K21" s="2">
        <f>IF(C21&gt;0,IF(H21&gt;0,H21*G21,0),0)</f>
        <v>0</v>
      </c>
      <c r="L21" s="2">
        <f>IF(C21&gt;0,IF(I21&gt;0,I21*F21,0),0)</f>
        <v>0</v>
      </c>
      <c r="M21" s="2">
        <f>IF(C21&gt;0,IF(I21&gt;0,I21*G21,0),0)</f>
        <v>0</v>
      </c>
      <c r="N21" s="6">
        <f>(SUMPRODUCT(C2:M2,C21:M21))</f>
        <v>0</v>
      </c>
      <c r="O21" s="7">
        <f>EXP(N21)</f>
        <v>1</v>
      </c>
      <c r="P21" s="6" t="str">
        <f>IF('Laboratory Inputs'!B14&gt;0,'Laboratory Inputs'!B14/'Workforce Calc Beta'!O21,"na")</f>
        <v>na</v>
      </c>
      <c r="Q21" s="2" t="str">
        <f>IF('Laboratory Inputs'!B14&lt;16000,P21,"unknown--out of range")</f>
        <v>na</v>
      </c>
    </row>
    <row r="22" spans="2:17" x14ac:dyDescent="0.35">
      <c r="B22" t="s">
        <v>13</v>
      </c>
      <c r="C22" s="2">
        <f>IF('Laboratory Inputs'!B15&gt;0,1,0)</f>
        <v>0</v>
      </c>
      <c r="D22" s="2">
        <f>IF(C22&gt;0,LN('Laboratory Inputs'!B15),0)</f>
        <v>0</v>
      </c>
      <c r="E22" s="4">
        <f>IF(C22&gt;0,IF('Laboratory Inputs'!B$12&lt;11700000,'Laboratory Inputs'!B$12,1170000),0)</f>
        <v>0</v>
      </c>
      <c r="F22" s="2">
        <f>IF(C22&gt;0,IF('Laboratory Inputs'!B$9&lt;1000,'Laboratory Inputs'!B$9,1000),0)</f>
        <v>0</v>
      </c>
      <c r="G22" s="2">
        <f>IF(C22&gt;0,'Laboratory Inputs'!B$11,0)</f>
        <v>0</v>
      </c>
      <c r="H22" s="2">
        <f>IF('Laboratory Inputs'!B$5=2,IF(C22&gt;0,1,0),0)</f>
        <v>0</v>
      </c>
      <c r="I22" s="2">
        <f>IF('Laboratory Inputs'!B$5=3,IF(C22&gt;0,1,0),0)</f>
        <v>0</v>
      </c>
      <c r="J22" s="2">
        <f t="shared" ref="J22:J38" si="0">IF(C22&gt;0,IF(H22&gt;0,H22*F22,0),0)</f>
        <v>0</v>
      </c>
      <c r="K22" s="2">
        <f t="shared" ref="K22:K38" si="1">IF(C22&gt;0,IF(H22&gt;0,H22*G22,0),0)</f>
        <v>0</v>
      </c>
      <c r="L22" s="2">
        <f t="shared" ref="L22:L38" si="2">IF(C22&gt;0,IF(I22&gt;0,I22*F22,0),0)</f>
        <v>0</v>
      </c>
      <c r="M22" s="2">
        <f t="shared" ref="M22:M38" si="3">IF(C22&gt;0,IF(I22&gt;0,I22*G22,0),0)</f>
        <v>0</v>
      </c>
      <c r="N22" s="6">
        <f t="shared" ref="N22:N38" si="4">(SUMPRODUCT(C3:M3,C22:M22))</f>
        <v>0</v>
      </c>
      <c r="O22" s="7">
        <f t="shared" ref="O22:O38" si="5">EXP(N22)</f>
        <v>1</v>
      </c>
      <c r="P22" s="6" t="str">
        <f>IF('Laboratory Inputs'!B15&gt;0,'Laboratory Inputs'!B15/'Workforce Calc Beta'!O22,"na")</f>
        <v>na</v>
      </c>
      <c r="Q22" s="2" t="str">
        <f>IF('Laboratory Inputs'!B15&lt;5200,P22,"unknown--out of range")</f>
        <v>na</v>
      </c>
    </row>
    <row r="23" spans="2:17" x14ac:dyDescent="0.35">
      <c r="B23" t="s">
        <v>14</v>
      </c>
      <c r="C23" s="2">
        <f>IF('Laboratory Inputs'!B16&gt;0,1,0)</f>
        <v>0</v>
      </c>
      <c r="D23" s="2">
        <f>IF(C23&gt;0,IF('Laboratory Inputs'!B16&lt;1000,LN('Laboratory Inputs'!B16),LN(1000)),0)</f>
        <v>0</v>
      </c>
      <c r="E23" s="4">
        <f>IF(C23&gt;0,IF('Laboratory Inputs'!B$12&lt;11700000,'Laboratory Inputs'!B$12,1170000),0)</f>
        <v>0</v>
      </c>
      <c r="F23" s="2">
        <f>IF(C23&gt;0,IF('Laboratory Inputs'!B$9&lt;1000,'Laboratory Inputs'!B$9,1000),0)</f>
        <v>0</v>
      </c>
      <c r="G23" s="2">
        <f>IF(C23&gt;0,'Laboratory Inputs'!B$11,0)</f>
        <v>0</v>
      </c>
      <c r="H23" s="2">
        <f>IF('Laboratory Inputs'!B$5=2,IF(C23&gt;0,1,0),0)</f>
        <v>0</v>
      </c>
      <c r="I23" s="2">
        <f>IF('Laboratory Inputs'!B$5=3,IF(C23&gt;0,1,0),0)</f>
        <v>0</v>
      </c>
      <c r="J23" s="2">
        <f t="shared" si="0"/>
        <v>0</v>
      </c>
      <c r="K23" s="2">
        <f t="shared" si="1"/>
        <v>0</v>
      </c>
      <c r="L23" s="2">
        <f t="shared" si="2"/>
        <v>0</v>
      </c>
      <c r="M23" s="2">
        <f t="shared" si="3"/>
        <v>0</v>
      </c>
      <c r="N23" s="6">
        <f t="shared" si="4"/>
        <v>0</v>
      </c>
      <c r="O23" s="7">
        <f t="shared" si="5"/>
        <v>1</v>
      </c>
      <c r="P23" s="6" t="str">
        <f>IF('Laboratory Inputs'!B16&gt;0,IF('Laboratory Inputs'!B16&lt;1000,'Laboratory Inputs'!B16/'Workforce Calc Beta'!O23,1000/O23),"na")</f>
        <v>na</v>
      </c>
      <c r="Q23" s="2" t="str">
        <f>IF('Laboratory Inputs'!B16&lt;750,O49,"unknown--out of range")</f>
        <v>na</v>
      </c>
    </row>
    <row r="24" spans="2:17" x14ac:dyDescent="0.35">
      <c r="B24" t="s">
        <v>15</v>
      </c>
      <c r="C24" s="2">
        <f>IF('Laboratory Inputs'!B17&gt;0,1,0)</f>
        <v>0</v>
      </c>
      <c r="D24" s="2">
        <f>IF(C24&gt;0,LN('Laboratory Inputs'!B17),0)</f>
        <v>0</v>
      </c>
      <c r="E24" s="4">
        <f>IF(C24&gt;0,IF('Laboratory Inputs'!B$12&lt;11700000,'Laboratory Inputs'!B$12,1170000),0)</f>
        <v>0</v>
      </c>
      <c r="F24" s="2">
        <f>IF(C24&gt;0,IF('Laboratory Inputs'!B$9&lt;1000,'Laboratory Inputs'!B$9,1000),0)</f>
        <v>0</v>
      </c>
      <c r="G24" s="2">
        <f>IF(C24&gt;0,'Laboratory Inputs'!B$11,0)</f>
        <v>0</v>
      </c>
      <c r="H24" s="2">
        <f>IF('Laboratory Inputs'!B$5=2,IF(C24&gt;0,1,0),0)</f>
        <v>0</v>
      </c>
      <c r="I24" s="2">
        <f>IF('Laboratory Inputs'!B$5=3,IF(C24&gt;0,1,0),0)</f>
        <v>0</v>
      </c>
      <c r="J24" s="2">
        <f t="shared" si="0"/>
        <v>0</v>
      </c>
      <c r="K24" s="2">
        <f>IF(C24&gt;0,IF(H24&gt;0,H24*G24,0),0)</f>
        <v>0</v>
      </c>
      <c r="L24" s="2">
        <f t="shared" si="2"/>
        <v>0</v>
      </c>
      <c r="M24" s="2">
        <f t="shared" si="3"/>
        <v>0</v>
      </c>
      <c r="N24" s="6">
        <f t="shared" si="4"/>
        <v>0</v>
      </c>
      <c r="O24" s="7">
        <f t="shared" si="5"/>
        <v>1</v>
      </c>
      <c r="P24" s="6" t="str">
        <f>IF('Laboratory Inputs'!B17&gt;0,'Laboratory Inputs'!B17/'Workforce Calc Beta'!O24,"na")</f>
        <v>na</v>
      </c>
      <c r="Q24" s="2" t="str">
        <f>IF('Laboratory Inputs'!B17&lt;8250,P45,"unknown--out of range")</f>
        <v>na</v>
      </c>
    </row>
    <row r="25" spans="2:17" x14ac:dyDescent="0.35">
      <c r="B25" t="s">
        <v>16</v>
      </c>
      <c r="C25" s="2">
        <f>IF('Laboratory Inputs'!B18&gt;0,1,0)</f>
        <v>0</v>
      </c>
      <c r="D25" s="2">
        <f>IF(C25&gt;0,LN('Laboratory Inputs'!B18),0)</f>
        <v>0</v>
      </c>
      <c r="E25" s="4">
        <f>IF(C25&gt;0,IF('Laboratory Inputs'!B$12&lt;11700000,'Laboratory Inputs'!B$12,1170000),0)</f>
        <v>0</v>
      </c>
      <c r="F25" s="4">
        <f>IF(C25&gt;0,IF('Laboratory Inputs'!B$9&lt;1000,'Laboratory Inputs'!B$9,1000),0)</f>
        <v>0</v>
      </c>
      <c r="G25" s="4">
        <f>IF(C25&gt;0,IF('Laboratory Inputs'!B$11&lt;5000,'Laboratory Inputs'!B$11,5000),0)</f>
        <v>0</v>
      </c>
      <c r="H25" s="2">
        <f>IF('Laboratory Inputs'!B$5=2,IF(C25&gt;0,1,0),0)</f>
        <v>0</v>
      </c>
      <c r="I25" s="2">
        <f>IF('Laboratory Inputs'!B$5=3,IF(C25&gt;0,1,0),0)</f>
        <v>0</v>
      </c>
      <c r="J25" s="2">
        <f t="shared" si="0"/>
        <v>0</v>
      </c>
      <c r="K25" s="2">
        <f t="shared" si="1"/>
        <v>0</v>
      </c>
      <c r="L25" s="2">
        <f t="shared" si="2"/>
        <v>0</v>
      </c>
      <c r="M25" s="2">
        <f t="shared" si="3"/>
        <v>0</v>
      </c>
      <c r="N25" s="6">
        <f t="shared" si="4"/>
        <v>0</v>
      </c>
      <c r="O25" s="7">
        <f t="shared" si="5"/>
        <v>1</v>
      </c>
      <c r="P25" s="6" t="str">
        <f>IF('Laboratory Inputs'!B18&gt;0,'Laboratory Inputs'!B18/'Workforce Calc Beta'!O25,"na")</f>
        <v>na</v>
      </c>
      <c r="Q25" s="2" t="str">
        <f>IF('Laboratory Inputs'!B18&lt;50000,P25,"unknown--out of range")</f>
        <v>na</v>
      </c>
    </row>
    <row r="26" spans="2:17" x14ac:dyDescent="0.35">
      <c r="B26" t="s">
        <v>17</v>
      </c>
      <c r="C26" s="2">
        <f>IF('Laboratory Inputs'!B19&gt;0,1,0)</f>
        <v>0</v>
      </c>
      <c r="D26" s="2">
        <f>IF(C26&gt;0,LN('Laboratory Inputs'!B19),0)</f>
        <v>0</v>
      </c>
      <c r="E26" s="4">
        <f>IF(C26&gt;0,IF('Laboratory Inputs'!B$12&lt;11700000,'Laboratory Inputs'!B$12,1170000),0)</f>
        <v>0</v>
      </c>
      <c r="F26" s="4">
        <f>IF(C26&gt;0,IF('Laboratory Inputs'!B$9&lt;1000,'Laboratory Inputs'!B$9,1000),0)</f>
        <v>0</v>
      </c>
      <c r="G26" s="4">
        <f>IF(C26&gt;0,IF('Laboratory Inputs'!B$11&lt;5000,'Laboratory Inputs'!B$11,5000),0)</f>
        <v>0</v>
      </c>
      <c r="H26" s="2">
        <f>IF('Laboratory Inputs'!B$5=2,IF(C26&gt;0,1,0),0)</f>
        <v>0</v>
      </c>
      <c r="I26" s="2">
        <f>IF('Laboratory Inputs'!B$5=3,IF(C26&gt;0,1,0),0)</f>
        <v>0</v>
      </c>
      <c r="J26" s="2">
        <f t="shared" si="0"/>
        <v>0</v>
      </c>
      <c r="K26" s="2">
        <f t="shared" si="1"/>
        <v>0</v>
      </c>
      <c r="L26" s="2">
        <f t="shared" si="2"/>
        <v>0</v>
      </c>
      <c r="M26" s="2">
        <f t="shared" si="3"/>
        <v>0</v>
      </c>
      <c r="N26" s="6">
        <f t="shared" si="4"/>
        <v>0</v>
      </c>
      <c r="O26" s="7">
        <f t="shared" si="5"/>
        <v>1</v>
      </c>
      <c r="P26" s="6" t="str">
        <f>IF('Laboratory Inputs'!B19&gt;0,'Laboratory Inputs'!B19/'Workforce Calc Beta'!O26,"na")</f>
        <v>na</v>
      </c>
      <c r="Q26" s="2" t="str">
        <f>IF('Laboratory Inputs'!B19&lt;300,P26,"unknown--out of range")</f>
        <v>na</v>
      </c>
    </row>
    <row r="27" spans="2:17" x14ac:dyDescent="0.35">
      <c r="B27" t="s">
        <v>18</v>
      </c>
      <c r="C27" s="2">
        <f>IF('Laboratory Inputs'!B20&gt;0,1,0)</f>
        <v>0</v>
      </c>
      <c r="D27" s="2">
        <f>IF(C27&gt;0,LN('Laboratory Inputs'!B20),0)</f>
        <v>0</v>
      </c>
      <c r="E27" s="4">
        <f>IF(C27&gt;0,IF('Laboratory Inputs'!B$12&lt;11700000,'Laboratory Inputs'!B$12,1170000),0)</f>
        <v>0</v>
      </c>
      <c r="F27" s="4">
        <f>IF(C27&gt;0,IF('Laboratory Inputs'!B$9&lt;1000,'Laboratory Inputs'!B$9,1000),0)</f>
        <v>0</v>
      </c>
      <c r="G27" s="4">
        <f>IF(C27&gt;0,IF('Laboratory Inputs'!B$11&lt;5000,'Laboratory Inputs'!B$11,5000),0)</f>
        <v>0</v>
      </c>
      <c r="H27" s="2">
        <f>IF('Laboratory Inputs'!B$5=2,IF(C27&gt;0,1,0),0)</f>
        <v>0</v>
      </c>
      <c r="I27" s="2">
        <f>IF('Laboratory Inputs'!B$5=3,IF(C27&gt;0,1,0),0)</f>
        <v>0</v>
      </c>
      <c r="J27" s="2">
        <f t="shared" si="0"/>
        <v>0</v>
      </c>
      <c r="K27" s="2">
        <f t="shared" si="1"/>
        <v>0</v>
      </c>
      <c r="L27" s="2">
        <f t="shared" si="2"/>
        <v>0</v>
      </c>
      <c r="M27" s="2">
        <f t="shared" si="3"/>
        <v>0</v>
      </c>
      <c r="N27" s="6">
        <f t="shared" si="4"/>
        <v>0</v>
      </c>
      <c r="O27" s="7">
        <f t="shared" si="5"/>
        <v>1</v>
      </c>
      <c r="P27" s="6" t="str">
        <f>IF('Laboratory Inputs'!B20&gt;0,'Laboratory Inputs'!B20/'Workforce Calc Beta'!O27,"na")</f>
        <v>na</v>
      </c>
      <c r="Q27" s="2" t="str">
        <f>IF('Laboratory Inputs'!B20&lt;52500,P27,"unknown--out of range")</f>
        <v>na</v>
      </c>
    </row>
    <row r="28" spans="2:17" x14ac:dyDescent="0.35">
      <c r="B28" t="s">
        <v>19</v>
      </c>
      <c r="C28" s="2">
        <f>IF('Laboratory Inputs'!B21&gt;0,1,0)</f>
        <v>0</v>
      </c>
      <c r="D28" s="2">
        <f>IF(C28&gt;0,LN('Laboratory Inputs'!B21),0)</f>
        <v>0</v>
      </c>
      <c r="E28" s="4">
        <f>IF(C28&gt;0,IF('Laboratory Inputs'!B$12&lt;11700000,'Laboratory Inputs'!B$12,1170000),0)</f>
        <v>0</v>
      </c>
      <c r="F28" s="4">
        <f>IF(C28&gt;0,IF('Laboratory Inputs'!B$9&lt;1000,'Laboratory Inputs'!B$9,1000),0)</f>
        <v>0</v>
      </c>
      <c r="G28" s="4">
        <f>IF(C28&gt;0,IF('Laboratory Inputs'!B$11&lt;5000,'Laboratory Inputs'!B$11,5000),0)</f>
        <v>0</v>
      </c>
      <c r="H28" s="2">
        <f>IF('Laboratory Inputs'!B$5=2,IF(C28&gt;0,1,0),0)</f>
        <v>0</v>
      </c>
      <c r="I28" s="2">
        <f>IF('Laboratory Inputs'!B$5=3,IF(C28&gt;0,1,0),0)</f>
        <v>0</v>
      </c>
      <c r="J28" s="2">
        <f t="shared" si="0"/>
        <v>0</v>
      </c>
      <c r="K28" s="2">
        <f t="shared" si="1"/>
        <v>0</v>
      </c>
      <c r="L28" s="2">
        <f t="shared" si="2"/>
        <v>0</v>
      </c>
      <c r="M28" s="2">
        <f t="shared" si="3"/>
        <v>0</v>
      </c>
      <c r="N28" s="6">
        <f t="shared" si="4"/>
        <v>0</v>
      </c>
      <c r="O28" s="7">
        <f t="shared" si="5"/>
        <v>1</v>
      </c>
      <c r="P28" s="6" t="str">
        <f>IF('Laboratory Inputs'!B21&gt;0,'Laboratory Inputs'!B21/'Workforce Calc Beta'!O28,"na")</f>
        <v>na</v>
      </c>
      <c r="Q28" s="2" t="str">
        <f>IF('Laboratory Inputs'!B21&lt;3250,P28,"unknown--out of range")</f>
        <v>na</v>
      </c>
    </row>
    <row r="29" spans="2:17" x14ac:dyDescent="0.35">
      <c r="B29" t="s">
        <v>20</v>
      </c>
      <c r="C29" s="2">
        <f>IF('Laboratory Inputs'!B22&gt;0,1,0)</f>
        <v>0</v>
      </c>
      <c r="D29" s="2">
        <f>IF(C29&gt;0,LN('Laboratory Inputs'!B22),0)</f>
        <v>0</v>
      </c>
      <c r="E29" s="4">
        <f>IF(C29&gt;0,IF('Laboratory Inputs'!B$12&lt;11700000,'Laboratory Inputs'!B$12,1170000),0)</f>
        <v>0</v>
      </c>
      <c r="F29" s="4">
        <f>IF(C29&gt;0,IF('Laboratory Inputs'!B$9&lt;1000,'Laboratory Inputs'!B$9,1000),0)</f>
        <v>0</v>
      </c>
      <c r="G29" s="4">
        <f>IF(C29&gt;0,IF('Laboratory Inputs'!B$11&lt;5000,'Laboratory Inputs'!B$11,5000),0)</f>
        <v>0</v>
      </c>
      <c r="H29" s="2">
        <f>IF('Laboratory Inputs'!B$5=2,IF(C29&gt;0,1,0),0)</f>
        <v>0</v>
      </c>
      <c r="I29" s="2">
        <f>IF('Laboratory Inputs'!B$5=3,IF(C29&gt;0,1,0),0)</f>
        <v>0</v>
      </c>
      <c r="J29" s="2">
        <f t="shared" si="0"/>
        <v>0</v>
      </c>
      <c r="K29" s="2">
        <f t="shared" si="1"/>
        <v>0</v>
      </c>
      <c r="L29" s="2">
        <f t="shared" si="2"/>
        <v>0</v>
      </c>
      <c r="M29" s="2">
        <f t="shared" si="3"/>
        <v>0</v>
      </c>
      <c r="N29" s="6">
        <f t="shared" si="4"/>
        <v>0</v>
      </c>
      <c r="O29" s="7">
        <f t="shared" si="5"/>
        <v>1</v>
      </c>
      <c r="P29" s="6" t="str">
        <f>IF('Laboratory Inputs'!B22&gt;0,'Laboratory Inputs'!B22/'Workforce Calc Beta'!O29,"na")</f>
        <v>na</v>
      </c>
      <c r="Q29" s="2" t="str">
        <f>IF('Laboratory Inputs'!B22&lt;75,P29,"unknown--out of range")</f>
        <v>na</v>
      </c>
    </row>
    <row r="30" spans="2:17" x14ac:dyDescent="0.35">
      <c r="B30" t="s">
        <v>21</v>
      </c>
      <c r="C30" s="2">
        <f>IF('Laboratory Inputs'!B23&gt;0,1,0)</f>
        <v>0</v>
      </c>
      <c r="D30" s="2">
        <f>IF(C30&gt;0,LN('Laboratory Inputs'!B23),0)</f>
        <v>0</v>
      </c>
      <c r="E30" s="4">
        <f>IF(C30&gt;0,IF('Laboratory Inputs'!B$12&lt;11700000,'Laboratory Inputs'!B$12,1170000),0)</f>
        <v>0</v>
      </c>
      <c r="F30" s="4">
        <f>IF(C30&gt;0,IF('Laboratory Inputs'!B$9&lt;1000,'Laboratory Inputs'!B$9,1000),0)</f>
        <v>0</v>
      </c>
      <c r="G30" s="4">
        <f>IF(C30&gt;0,IF('Laboratory Inputs'!B$11&lt;5000,'Laboratory Inputs'!B$11,5000),0)</f>
        <v>0</v>
      </c>
      <c r="H30" s="2">
        <f>IF('Laboratory Inputs'!B$5=2,IF(C30&gt;0,1,0),0)</f>
        <v>0</v>
      </c>
      <c r="I30" s="2">
        <f>IF('Laboratory Inputs'!B$5=3,IF(C30&gt;0,1,0),0)</f>
        <v>0</v>
      </c>
      <c r="J30" s="2">
        <f t="shared" si="0"/>
        <v>0</v>
      </c>
      <c r="K30" s="2">
        <f t="shared" si="1"/>
        <v>0</v>
      </c>
      <c r="L30" s="2">
        <f t="shared" si="2"/>
        <v>0</v>
      </c>
      <c r="M30" s="2">
        <f t="shared" si="3"/>
        <v>0</v>
      </c>
      <c r="N30" s="6">
        <f t="shared" si="4"/>
        <v>0</v>
      </c>
      <c r="O30" s="7">
        <f t="shared" si="5"/>
        <v>1</v>
      </c>
      <c r="P30" s="6" t="str">
        <f>IF('Laboratory Inputs'!B23&gt;0,'Laboratory Inputs'!B23/'Workforce Calc Beta'!O30,"na")</f>
        <v>na</v>
      </c>
      <c r="Q30" s="2" t="str">
        <f>IF('Laboratory Inputs'!B23&lt;17500,P30,"unknown--out of range")</f>
        <v>na</v>
      </c>
    </row>
    <row r="31" spans="2:17" x14ac:dyDescent="0.35">
      <c r="B31" t="s">
        <v>22</v>
      </c>
      <c r="C31" s="2">
        <f>IF('Laboratory Inputs'!B24&gt;0,1,0)</f>
        <v>0</v>
      </c>
      <c r="D31" s="2">
        <f>IF(C31&gt;0,LN('Laboratory Inputs'!B24),0)</f>
        <v>0</v>
      </c>
      <c r="E31" s="4">
        <f>IF(C31&gt;0,IF('Laboratory Inputs'!B$12&lt;11700000,'Laboratory Inputs'!B$12,1170000),0)</f>
        <v>0</v>
      </c>
      <c r="F31" s="4">
        <f>IF(C31&gt;0,IF('Laboratory Inputs'!B$9&lt;1000,'Laboratory Inputs'!B$9,1000),0)</f>
        <v>0</v>
      </c>
      <c r="G31" s="4">
        <f>IF(C31&gt;0,IF('Laboratory Inputs'!B$11&lt;5000,'Laboratory Inputs'!B$11,5000),0)</f>
        <v>0</v>
      </c>
      <c r="H31" s="2">
        <f>IF('Laboratory Inputs'!B$5=2,IF(C31&gt;0,1,0),0)</f>
        <v>0</v>
      </c>
      <c r="I31" s="2">
        <f>IF('Laboratory Inputs'!B$5=3,IF(C31&gt;0,1,0),0)</f>
        <v>0</v>
      </c>
      <c r="J31" s="2">
        <f t="shared" si="0"/>
        <v>0</v>
      </c>
      <c r="K31" s="2">
        <f t="shared" si="1"/>
        <v>0</v>
      </c>
      <c r="L31" s="2">
        <f t="shared" si="2"/>
        <v>0</v>
      </c>
      <c r="M31" s="2">
        <f t="shared" si="3"/>
        <v>0</v>
      </c>
      <c r="N31" s="6">
        <f t="shared" si="4"/>
        <v>0</v>
      </c>
      <c r="O31" s="7">
        <f t="shared" si="5"/>
        <v>1</v>
      </c>
      <c r="P31" s="6" t="str">
        <f>IF('Laboratory Inputs'!B24&gt;0,'Laboratory Inputs'!B24/'Workforce Calc Beta'!O31,"na")</f>
        <v>na</v>
      </c>
      <c r="Q31" s="2" t="str">
        <f>IF('Laboratory Inputs'!B24&lt;1250,P31,"unknown--out of range")</f>
        <v>na</v>
      </c>
    </row>
    <row r="32" spans="2:17" x14ac:dyDescent="0.35">
      <c r="B32" t="s">
        <v>23</v>
      </c>
      <c r="C32" s="2">
        <f>IF('Laboratory Inputs'!B25&gt;0,1,0)</f>
        <v>0</v>
      </c>
      <c r="D32" s="2">
        <f>IF(C32&gt;0,LN('Laboratory Inputs'!B25),0)</f>
        <v>0</v>
      </c>
      <c r="E32" s="4">
        <f>IF(C32&gt;0,IF('Laboratory Inputs'!B$12&lt;11700000,'Laboratory Inputs'!B$12,1170000),0)</f>
        <v>0</v>
      </c>
      <c r="F32" s="4">
        <f>IF(C32&gt;0,IF('Laboratory Inputs'!B$9&lt;1000,'Laboratory Inputs'!B$9,1000),0)</f>
        <v>0</v>
      </c>
      <c r="G32" s="4">
        <f>IF(C32&gt;0,IF('Laboratory Inputs'!B$11&lt;5000,'Laboratory Inputs'!B$11,5000),0)</f>
        <v>0</v>
      </c>
      <c r="H32" s="2">
        <f>IF('Laboratory Inputs'!B$5=2,IF(C32&gt;0,1,0),0)</f>
        <v>0</v>
      </c>
      <c r="I32" s="2">
        <f>IF('Laboratory Inputs'!B$5=3,IF(C32&gt;0,1,0),0)</f>
        <v>0</v>
      </c>
      <c r="J32" s="2">
        <f t="shared" si="0"/>
        <v>0</v>
      </c>
      <c r="K32" s="2">
        <f t="shared" si="1"/>
        <v>0</v>
      </c>
      <c r="L32" s="2">
        <f t="shared" si="2"/>
        <v>0</v>
      </c>
      <c r="M32" s="2">
        <f t="shared" si="3"/>
        <v>0</v>
      </c>
      <c r="N32" s="6">
        <f t="shared" si="4"/>
        <v>0</v>
      </c>
      <c r="O32" s="7">
        <f t="shared" si="5"/>
        <v>1</v>
      </c>
      <c r="P32" s="6" t="str">
        <f>IF('Laboratory Inputs'!B25&gt;0,'Laboratory Inputs'!B25/'Workforce Calc Beta'!O32,"na")</f>
        <v>na</v>
      </c>
      <c r="Q32" s="2" t="str">
        <f>IF('Laboratory Inputs'!B25&lt;7725,P32,"unknown--out of range")</f>
        <v>na</v>
      </c>
    </row>
    <row r="33" spans="2:17" x14ac:dyDescent="0.35">
      <c r="B33" t="s">
        <v>24</v>
      </c>
      <c r="C33" s="2">
        <f>IF('Laboratory Inputs'!B26&gt;0,1,0)</f>
        <v>0</v>
      </c>
      <c r="D33" s="2">
        <f>IF(C33&gt;0,LN('Laboratory Inputs'!B26),0)</f>
        <v>0</v>
      </c>
      <c r="E33" s="4">
        <f>IF(C33&gt;0,IF('Laboratory Inputs'!B$12&lt;11700000,'Laboratory Inputs'!B$12,1170000),0)</f>
        <v>0</v>
      </c>
      <c r="F33" s="4">
        <f>IF(C33&gt;0,IF('Laboratory Inputs'!B$9&lt;1000,'Laboratory Inputs'!B$9,1000),0)</f>
        <v>0</v>
      </c>
      <c r="G33" s="4">
        <f>IF(C33&gt;0,IF('Laboratory Inputs'!B$11&lt;5000,'Laboratory Inputs'!B$11,5000),0)</f>
        <v>0</v>
      </c>
      <c r="H33" s="2">
        <f>IF('Laboratory Inputs'!B$5=2,IF(C33&gt;0,1,0),0)</f>
        <v>0</v>
      </c>
      <c r="I33" s="2">
        <f>IF('Laboratory Inputs'!B$5=3,IF(C33&gt;0,1,0),0)</f>
        <v>0</v>
      </c>
      <c r="J33" s="2">
        <f t="shared" si="0"/>
        <v>0</v>
      </c>
      <c r="K33" s="2">
        <f t="shared" si="1"/>
        <v>0</v>
      </c>
      <c r="L33" s="2">
        <f t="shared" si="2"/>
        <v>0</v>
      </c>
      <c r="M33" s="2">
        <f t="shared" si="3"/>
        <v>0</v>
      </c>
      <c r="N33" s="6">
        <f t="shared" si="4"/>
        <v>0</v>
      </c>
      <c r="O33" s="7">
        <f t="shared" si="5"/>
        <v>1</v>
      </c>
      <c r="P33" s="6" t="str">
        <f>IF('Laboratory Inputs'!B26&gt;0,'Laboratory Inputs'!B26/'Workforce Calc Beta'!O33,"na")</f>
        <v>na</v>
      </c>
      <c r="Q33" s="2" t="str">
        <f>IF('Laboratory Inputs'!B26&lt;1250,P33,"unknown--out of range")</f>
        <v>na</v>
      </c>
    </row>
    <row r="34" spans="2:17" x14ac:dyDescent="0.35">
      <c r="B34" t="s">
        <v>25</v>
      </c>
      <c r="C34" s="2">
        <f>IF('Laboratory Inputs'!B27&gt;0,1,0)</f>
        <v>0</v>
      </c>
      <c r="D34" s="2">
        <f>IF(C34&gt;0,LN('Laboratory Inputs'!B27),0)</f>
        <v>0</v>
      </c>
      <c r="E34" s="4">
        <f>IF(C34&gt;0,IF('Laboratory Inputs'!B$12&lt;11700000,'Laboratory Inputs'!B$12,1170000),0)</f>
        <v>0</v>
      </c>
      <c r="F34" s="4">
        <f>IF(C34&gt;0,IF('Laboratory Inputs'!B$9&lt;1000,'Laboratory Inputs'!B$9,1000),0)</f>
        <v>0</v>
      </c>
      <c r="G34" s="4">
        <f>IF(C34&gt;0,IF('Laboratory Inputs'!B$11&lt;5000,'Laboratory Inputs'!B$11,5000),0)</f>
        <v>0</v>
      </c>
      <c r="H34" s="2">
        <f>IF('Laboratory Inputs'!B$5=2,IF(C34&gt;0,1,0),0)</f>
        <v>0</v>
      </c>
      <c r="I34" s="2">
        <f>IF('Laboratory Inputs'!B$5=3,IF(C34&gt;0,1,0),0)</f>
        <v>0</v>
      </c>
      <c r="J34" s="2">
        <f t="shared" si="0"/>
        <v>0</v>
      </c>
      <c r="K34" s="2">
        <f t="shared" si="1"/>
        <v>0</v>
      </c>
      <c r="L34" s="2">
        <f t="shared" si="2"/>
        <v>0</v>
      </c>
      <c r="M34" s="2">
        <f t="shared" si="3"/>
        <v>0</v>
      </c>
      <c r="N34" s="6">
        <f t="shared" si="4"/>
        <v>0</v>
      </c>
      <c r="O34" s="7">
        <f t="shared" si="5"/>
        <v>1</v>
      </c>
      <c r="P34" s="6" t="str">
        <f>IF('Laboratory Inputs'!B27&gt;0,'Laboratory Inputs'!B27/'Workforce Calc Beta'!O34,"na")</f>
        <v>na</v>
      </c>
      <c r="Q34" s="2" t="str">
        <f>IF('Laboratory Inputs'!B27&lt;125,P34,"unknown--out of range")</f>
        <v>na</v>
      </c>
    </row>
    <row r="35" spans="2:17" x14ac:dyDescent="0.35">
      <c r="B35" t="s">
        <v>26</v>
      </c>
      <c r="C35" s="2">
        <f>IF('Laboratory Inputs'!B28&gt;0,1,0)</f>
        <v>0</v>
      </c>
      <c r="D35" s="2">
        <f>IF(C35&gt;0,LN('Laboratory Inputs'!B28),0)</f>
        <v>0</v>
      </c>
      <c r="E35" s="4">
        <f>IF(C35&gt;0,IF('Laboratory Inputs'!B$12&lt;11700000,'Laboratory Inputs'!B$12,1170000),0)</f>
        <v>0</v>
      </c>
      <c r="F35" s="4">
        <f>IF(C35&gt;0,IF('Laboratory Inputs'!B$9&lt;1000,'Laboratory Inputs'!B$9,1000),0)</f>
        <v>0</v>
      </c>
      <c r="G35" s="4">
        <f>IF(C35&gt;0,IF('Laboratory Inputs'!B$11&lt;5000,'Laboratory Inputs'!B$11,5000),0)</f>
        <v>0</v>
      </c>
      <c r="H35" s="2">
        <f>IF('Laboratory Inputs'!B$5=2,IF(C35&gt;0,1,0),0)</f>
        <v>0</v>
      </c>
      <c r="I35" s="2">
        <f>IF('Laboratory Inputs'!B$5=3,IF(C35&gt;0,1,0),0)</f>
        <v>0</v>
      </c>
      <c r="J35" s="2">
        <f t="shared" si="0"/>
        <v>0</v>
      </c>
      <c r="K35" s="2">
        <f t="shared" si="1"/>
        <v>0</v>
      </c>
      <c r="L35" s="2">
        <f t="shared" si="2"/>
        <v>0</v>
      </c>
      <c r="M35" s="2">
        <f t="shared" si="3"/>
        <v>0</v>
      </c>
      <c r="N35" s="6">
        <f t="shared" si="4"/>
        <v>0</v>
      </c>
      <c r="O35" s="7">
        <f t="shared" si="5"/>
        <v>1</v>
      </c>
      <c r="P35" s="6" t="str">
        <f>IF('Laboratory Inputs'!B28&gt;0,'Laboratory Inputs'!B28/'Workforce Calc Beta'!O35,"na")</f>
        <v>na</v>
      </c>
      <c r="Q35" s="2" t="str">
        <f>IF('Laboratory Inputs'!B28&lt;8500,P35,"unknown--out of range")</f>
        <v>na</v>
      </c>
    </row>
    <row r="36" spans="2:17" x14ac:dyDescent="0.35">
      <c r="B36" t="s">
        <v>27</v>
      </c>
      <c r="C36" s="2">
        <f>IF('Laboratory Inputs'!B29&gt;0,1,0)</f>
        <v>0</v>
      </c>
      <c r="D36" s="2">
        <f>IF(C36&gt;0,LN('Laboratory Inputs'!B29),0)</f>
        <v>0</v>
      </c>
      <c r="E36" s="4">
        <f>IF(C36&gt;0,IF('Laboratory Inputs'!B$12&lt;11700000,'Laboratory Inputs'!B$12,1170000),0)</f>
        <v>0</v>
      </c>
      <c r="F36" s="4">
        <f>IF(C36&gt;0,IF('Laboratory Inputs'!B$9&lt;1000,'Laboratory Inputs'!B$9,1000),0)</f>
        <v>0</v>
      </c>
      <c r="G36" s="4">
        <f>IF(C36&gt;0,IF('Laboratory Inputs'!B$11&lt;5000,'Laboratory Inputs'!B$11,5000),0)</f>
        <v>0</v>
      </c>
      <c r="H36" s="2">
        <f>IF('Laboratory Inputs'!B$5=2,IF(C36&gt;0,1,0),0)</f>
        <v>0</v>
      </c>
      <c r="I36" s="2">
        <f>IF('Laboratory Inputs'!B$5=3,IF(C36&gt;0,1,0),0)</f>
        <v>0</v>
      </c>
      <c r="J36" s="2">
        <f t="shared" si="0"/>
        <v>0</v>
      </c>
      <c r="K36" s="2">
        <f t="shared" si="1"/>
        <v>0</v>
      </c>
      <c r="L36" s="2">
        <f t="shared" si="2"/>
        <v>0</v>
      </c>
      <c r="M36" s="2">
        <f t="shared" si="3"/>
        <v>0</v>
      </c>
      <c r="N36" s="6">
        <f t="shared" si="4"/>
        <v>0</v>
      </c>
      <c r="O36" s="7">
        <f t="shared" si="5"/>
        <v>1</v>
      </c>
      <c r="P36" s="6" t="str">
        <f>IF('Laboratory Inputs'!B29&gt;0,'Laboratory Inputs'!B29/'Workforce Calc Beta'!O36,"na")</f>
        <v>na</v>
      </c>
      <c r="Q36" s="2" t="str">
        <f>IF('Laboratory Inputs'!B29&lt;7500,P36,"unknown--out of range")</f>
        <v>na</v>
      </c>
    </row>
    <row r="37" spans="2:17" x14ac:dyDescent="0.35">
      <c r="B37" t="s">
        <v>28</v>
      </c>
      <c r="C37" s="2">
        <f>IF('Laboratory Inputs'!B30&gt;0,1,0)</f>
        <v>0</v>
      </c>
      <c r="D37" s="2">
        <f>IF(C37&gt;0,LN('Laboratory Inputs'!B30),0)</f>
        <v>0</v>
      </c>
      <c r="E37" s="4">
        <f>IF(C37&gt;0,IF('Laboratory Inputs'!B$12&lt;11700000,'Laboratory Inputs'!B$12,1170000),0)</f>
        <v>0</v>
      </c>
      <c r="F37" s="4">
        <f>IF(C37&gt;0,IF('Laboratory Inputs'!B$9&lt;1000,'Laboratory Inputs'!B$9,1000),0)</f>
        <v>0</v>
      </c>
      <c r="G37" s="4">
        <f>IF(C37&gt;0,IF('Laboratory Inputs'!B$11&lt;5000,'Laboratory Inputs'!B$11,5000),0)</f>
        <v>0</v>
      </c>
      <c r="H37" s="2">
        <f>IF('Laboratory Inputs'!B$5=2,IF(C37&gt;0,1,0),0)</f>
        <v>0</v>
      </c>
      <c r="I37" s="2">
        <f>IF('Laboratory Inputs'!B$5=3,IF(C37&gt;0,1,0),0)</f>
        <v>0</v>
      </c>
      <c r="J37" s="2">
        <f t="shared" si="0"/>
        <v>0</v>
      </c>
      <c r="K37" s="2">
        <f t="shared" si="1"/>
        <v>0</v>
      </c>
      <c r="L37" s="2">
        <f t="shared" si="2"/>
        <v>0</v>
      </c>
      <c r="M37" s="2">
        <f t="shared" si="3"/>
        <v>0</v>
      </c>
      <c r="N37" s="6">
        <f t="shared" si="4"/>
        <v>0</v>
      </c>
      <c r="O37" s="7">
        <f t="shared" si="5"/>
        <v>1</v>
      </c>
      <c r="P37" s="6" t="str">
        <f>IF('Laboratory Inputs'!B30&gt;0,'Laboratory Inputs'!B30/'Workforce Calc Beta'!O37,"na")</f>
        <v>na</v>
      </c>
      <c r="Q37" s="2" t="str">
        <f>IF('Laboratory Inputs'!B30&lt;6000,P37,"unknown--out of range")</f>
        <v>na</v>
      </c>
    </row>
    <row r="38" spans="2:17" x14ac:dyDescent="0.35">
      <c r="B38" t="s">
        <v>29</v>
      </c>
      <c r="C38" s="2">
        <f>IF('Laboratory Inputs'!B31&gt;0,1,0)</f>
        <v>0</v>
      </c>
      <c r="D38" s="2">
        <f>IF(C38&gt;0,LN('Laboratory Inputs'!B31),0)</f>
        <v>0</v>
      </c>
      <c r="E38" s="4">
        <f>IF(C38&gt;0,IF('Laboratory Inputs'!B$12&lt;11700000,'Laboratory Inputs'!B$12,1170000),0)</f>
        <v>0</v>
      </c>
      <c r="F38" s="4">
        <f>IF(C38&gt;0,IF('Laboratory Inputs'!B$9&lt;1000,'Laboratory Inputs'!B$9,1000),0)</f>
        <v>0</v>
      </c>
      <c r="G38" s="4">
        <f>IF(C38&gt;0,IF('Laboratory Inputs'!B$11&lt;5000,'Laboratory Inputs'!B$11,5000),0)</f>
        <v>0</v>
      </c>
      <c r="H38" s="2">
        <f>IF('Laboratory Inputs'!B$5=2,IF(C38&gt;0,1,0),0)</f>
        <v>0</v>
      </c>
      <c r="I38" s="2">
        <f>IF('Laboratory Inputs'!B$5=3,IF(C38&gt;0,1,0),0)</f>
        <v>0</v>
      </c>
      <c r="J38" s="2">
        <f t="shared" si="0"/>
        <v>0</v>
      </c>
      <c r="K38" s="2">
        <f t="shared" si="1"/>
        <v>0</v>
      </c>
      <c r="L38" s="2">
        <f t="shared" si="2"/>
        <v>0</v>
      </c>
      <c r="M38" s="2">
        <f t="shared" si="3"/>
        <v>0</v>
      </c>
      <c r="N38" s="6">
        <f t="shared" si="4"/>
        <v>0</v>
      </c>
      <c r="O38" s="7">
        <f t="shared" si="5"/>
        <v>1</v>
      </c>
      <c r="P38" s="6" t="str">
        <f>IF('Laboratory Inputs'!B31&gt;0,'Laboratory Inputs'!B31/'Workforce Calc Beta'!O38,"na")</f>
        <v>na</v>
      </c>
      <c r="Q38" s="2" t="str">
        <f>IF('Laboratory Inputs'!B31&lt;400,P38,"unknown--out of range")</f>
        <v>na</v>
      </c>
    </row>
    <row r="39" spans="2:17" ht="16.5" x14ac:dyDescent="0.35">
      <c r="C39" s="1" t="s">
        <v>1</v>
      </c>
      <c r="D39" s="1" t="s">
        <v>95</v>
      </c>
      <c r="E39" s="1" t="s">
        <v>96</v>
      </c>
      <c r="F39" s="1" t="s">
        <v>6</v>
      </c>
      <c r="G39" s="1" t="s">
        <v>7</v>
      </c>
    </row>
    <row r="40" spans="2:17" x14ac:dyDescent="0.35">
      <c r="B40" t="s">
        <v>94</v>
      </c>
      <c r="C40" s="2">
        <v>57.706577698401027</v>
      </c>
      <c r="D40" s="2">
        <v>6.6357310806814979E-2</v>
      </c>
      <c r="E40" s="2">
        <v>-1.1441053612960113E-5</v>
      </c>
      <c r="F40" s="2">
        <v>-21.174478120206146</v>
      </c>
      <c r="G40" s="2">
        <v>-13.420340426374748</v>
      </c>
    </row>
    <row r="41" spans="2:17" x14ac:dyDescent="0.35">
      <c r="B41" t="s">
        <v>94</v>
      </c>
      <c r="C41" s="2">
        <v>49.430959718621523</v>
      </c>
      <c r="D41" s="2">
        <v>5.9693279200747303E-2</v>
      </c>
      <c r="E41" s="2">
        <v>-9.8628405506420999E-6</v>
      </c>
    </row>
    <row r="43" spans="2:17" x14ac:dyDescent="0.35">
      <c r="B43" t="s">
        <v>97</v>
      </c>
    </row>
    <row r="45" spans="2:17" x14ac:dyDescent="0.35">
      <c r="B45" t="s">
        <v>94</v>
      </c>
      <c r="C45" s="2">
        <f>IF('Laboratory Inputs'!B17&gt;0,1,0)</f>
        <v>0</v>
      </c>
      <c r="D45" s="4">
        <f>'Laboratory Inputs'!B17</f>
        <v>0</v>
      </c>
      <c r="E45" s="4">
        <f>D45^2</f>
        <v>0</v>
      </c>
      <c r="F45" s="2"/>
      <c r="G45" s="2"/>
      <c r="N45" s="2">
        <f>SUMPRODUCT(C41:E41,C45:E45)</f>
        <v>0</v>
      </c>
      <c r="O45" s="2" t="str">
        <f>IF(D45&gt;0,D45/N45,"na")</f>
        <v>na</v>
      </c>
      <c r="P45" t="str">
        <f>IF(D45&lt;5000,O45,D45/140)</f>
        <v>na</v>
      </c>
    </row>
    <row r="47" spans="2:17" ht="16.5" x14ac:dyDescent="0.35">
      <c r="B47" t="s">
        <v>98</v>
      </c>
      <c r="C47" s="1" t="s">
        <v>1</v>
      </c>
      <c r="D47" s="1" t="s">
        <v>95</v>
      </c>
      <c r="E47" s="1" t="s">
        <v>96</v>
      </c>
    </row>
    <row r="48" spans="2:17" x14ac:dyDescent="0.35">
      <c r="B48" t="s">
        <v>99</v>
      </c>
      <c r="C48" s="2">
        <v>12.222178853338555</v>
      </c>
      <c r="D48" s="2">
        <v>0.13158112495861896</v>
      </c>
      <c r="E48" s="2">
        <v>-1.2139320010057292E-4</v>
      </c>
    </row>
    <row r="49" spans="3:16" x14ac:dyDescent="0.35">
      <c r="C49" s="2">
        <f>IF('Laboratory Inputs'!B16&gt;0,1,0)</f>
        <v>0</v>
      </c>
      <c r="D49" s="4">
        <f>'Laboratory Inputs'!B16</f>
        <v>0</v>
      </c>
      <c r="E49" s="4">
        <f>D49^2</f>
        <v>0</v>
      </c>
      <c r="N49">
        <f>SUMPRODUCT(C48:E48,C49:E49)</f>
        <v>0</v>
      </c>
      <c r="O49" s="2" t="str">
        <f>IF(D49&gt;0,D49/N49,"na")</f>
        <v>na</v>
      </c>
      <c r="P49" t="str">
        <f>IF(D49&lt;750,O49,"unknown--out of range")</f>
        <v>na</v>
      </c>
    </row>
  </sheetData>
  <sheetProtection algorithmName="SHA-512" hashValue="qsDRuchCd2Yc1fYiok9o62wn9xdxSl34Y7q+++6TCNYnfGSlMiioAJ18tXQtDZTVfH6qda9lYilTdf/5nR5oCg==" saltValue="D8bW2ivXYLxk/jDUd+J9E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Laboratory Inputs</vt:lpstr>
      <vt:lpstr>Crime Rates by State</vt:lpstr>
      <vt:lpstr>Sheet1</vt:lpstr>
      <vt:lpstr>Workforce Calc Beta</vt:lpstr>
    </vt:vector>
  </TitlesOfParts>
  <Company>West Virginia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Speaker</dc:creator>
  <cp:lastModifiedBy>pjspe</cp:lastModifiedBy>
  <dcterms:created xsi:type="dcterms:W3CDTF">2019-02-06T18:05:26Z</dcterms:created>
  <dcterms:modified xsi:type="dcterms:W3CDTF">2019-03-03T21:54:39Z</dcterms:modified>
</cp:coreProperties>
</file>